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ate1904="1"/>
  <mc:AlternateContent xmlns:mc="http://schemas.openxmlformats.org/markup-compatibility/2006">
    <mc:Choice Requires="x15">
      <x15ac:absPath xmlns:x15ac="http://schemas.microsoft.com/office/spreadsheetml/2010/11/ac" url="/Users/Shared/Previously Relocated Items/Security/All My Stuff/Datasets/Datasets26/To Transfer/"/>
    </mc:Choice>
  </mc:AlternateContent>
  <xr:revisionPtr revIDLastSave="0" documentId="13_ncr:1_{EC59DEC3-C9FE-4A48-AA21-8183FC269298}" xr6:coauthVersionLast="47" xr6:coauthVersionMax="47" xr10:uidLastSave="{00000000-0000-0000-0000-000000000000}"/>
  <bookViews>
    <workbookView xWindow="-600" yWindow="-22480" windowWidth="30240" windowHeight="18980" firstSheet="9" activeTab="10" xr2:uid="{00000000-000D-0000-FFFF-FFFF00000000}"/>
  </bookViews>
  <sheets>
    <sheet name="Explanation and FAQ" sheetId="7" r:id="rId1"/>
    <sheet name="Summary of Most Recent Update" sheetId="28" r:id="rId2"/>
    <sheet name="Country Lookup" sheetId="17" r:id="rId3"/>
    <sheet name="ERPs by country" sheetId="1" r:id="rId4"/>
    <sheet name="Relative Equity Volatility" sheetId="26" r:id="rId5"/>
    <sheet name="Regional Simple Averages" sheetId="16" r:id="rId6"/>
    <sheet name="Regional Weighted Averages" sheetId="10" r:id="rId7"/>
    <sheet name="Regional breakdown" sheetId="3" r:id="rId8"/>
    <sheet name="Sovereign Ratings (Moody's,S&amp;P)" sheetId="2" r:id="rId9"/>
    <sheet name="Regional lookup table" sheetId="4" r:id="rId10"/>
    <sheet name="Default Spreads for Ratings" sheetId="25" r:id="rId11"/>
    <sheet name="10-year CDS Spreads" sheetId="5" r:id="rId12"/>
    <sheet name="Country GDP" sheetId="9" r:id="rId13"/>
    <sheet name="Ratings worksheet" sheetId="19" r:id="rId14"/>
    <sheet name="Country Tax Rates" sheetId="24" r:id="rId15"/>
    <sheet name="PRS Worksheet" sheetId="23" r:id="rId16"/>
    <sheet name="Data Update Sequence" sheetId="27" r:id="rId17"/>
  </sheets>
  <definedNames>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_xlnm.Print_Area" localSheetId="6">'Regional Weighted Averages'!$A$170:$G$194</definedName>
  </definedNames>
  <calcPr calcId="191029" iterate="1"/>
  <pivotCaches>
    <pivotCache cacheId="26"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4" i="25" l="1"/>
  <c r="G84" i="25"/>
  <c r="G181" i="23"/>
  <c r="F181" i="23"/>
  <c r="D181" i="23"/>
  <c r="B181" i="23"/>
  <c r="E181" i="23" s="1"/>
  <c r="E61" i="10"/>
  <c r="E57" i="10"/>
  <c r="A31" i="10"/>
  <c r="H31" i="10" s="1"/>
  <c r="H30" i="10"/>
  <c r="G30" i="10"/>
  <c r="A30" i="10"/>
  <c r="A29" i="10"/>
  <c r="A28" i="10"/>
  <c r="H28" i="10" s="1"/>
  <c r="H27" i="10"/>
  <c r="G27" i="10"/>
  <c r="A27" i="10"/>
  <c r="A26" i="10"/>
  <c r="B26" i="10" s="1"/>
  <c r="A25" i="10"/>
  <c r="H25" i="10" s="1"/>
  <c r="H24" i="10"/>
  <c r="G24" i="10"/>
  <c r="A24" i="10"/>
  <c r="A23" i="10"/>
  <c r="A22" i="10"/>
  <c r="H22" i="10" s="1"/>
  <c r="H21" i="10"/>
  <c r="G21" i="10"/>
  <c r="A21" i="10"/>
  <c r="A20" i="10"/>
  <c r="B20" i="10" s="1"/>
  <c r="A19" i="10"/>
  <c r="H19" i="10" s="1"/>
  <c r="H18" i="10"/>
  <c r="G18" i="10"/>
  <c r="A18" i="10"/>
  <c r="A17" i="10"/>
  <c r="A16" i="10"/>
  <c r="H16" i="10" s="1"/>
  <c r="H15" i="10"/>
  <c r="G15" i="10"/>
  <c r="A15" i="10"/>
  <c r="A14" i="10"/>
  <c r="A13" i="10"/>
  <c r="H13" i="10" s="1"/>
  <c r="H12" i="10"/>
  <c r="G12" i="10"/>
  <c r="A12" i="10"/>
  <c r="A11" i="10"/>
  <c r="A10" i="10"/>
  <c r="H10" i="10" s="1"/>
  <c r="H9" i="10"/>
  <c r="G9" i="10"/>
  <c r="A9" i="10"/>
  <c r="A8" i="10"/>
  <c r="B8" i="10" s="1"/>
  <c r="A7" i="10"/>
  <c r="H7" i="10" s="1"/>
  <c r="H6" i="10"/>
  <c r="G6" i="10"/>
  <c r="A6" i="10"/>
  <c r="A5" i="10"/>
  <c r="C5" i="10" s="1"/>
  <c r="A4" i="10"/>
  <c r="H4" i="10" s="1"/>
  <c r="H3" i="10"/>
  <c r="G3" i="10"/>
  <c r="A3" i="10"/>
  <c r="A2" i="10"/>
  <c r="C2" i="10" s="1"/>
  <c r="C1" i="10"/>
  <c r="B1" i="10"/>
  <c r="C6" i="26"/>
  <c r="C5" i="26"/>
  <c r="C4" i="26"/>
  <c r="C3" i="26"/>
  <c r="C2" i="26"/>
  <c r="B5" i="26"/>
  <c r="B4" i="26"/>
  <c r="B3" i="26"/>
  <c r="C1270" i="26"/>
  <c r="C1269" i="26"/>
  <c r="C1268" i="26"/>
  <c r="C1267" i="26"/>
  <c r="C1266" i="26"/>
  <c r="C1265" i="26"/>
  <c r="C1264" i="26"/>
  <c r="C1263" i="26"/>
  <c r="C1262" i="26"/>
  <c r="C1261" i="26"/>
  <c r="C1260" i="26"/>
  <c r="C1259" i="26"/>
  <c r="C1258" i="26"/>
  <c r="C1257" i="26"/>
  <c r="C1256" i="26"/>
  <c r="C1255" i="26"/>
  <c r="C1254" i="26"/>
  <c r="C1253" i="26"/>
  <c r="C1252" i="26"/>
  <c r="C1251" i="26"/>
  <c r="C1250" i="26"/>
  <c r="C1249" i="26"/>
  <c r="C1248" i="26"/>
  <c r="C1247" i="26"/>
  <c r="C1246" i="26"/>
  <c r="C1245" i="26"/>
  <c r="C1244" i="26"/>
  <c r="C1243" i="26"/>
  <c r="C1242" i="26"/>
  <c r="C1241" i="26"/>
  <c r="C1240" i="26"/>
  <c r="C1239" i="26"/>
  <c r="C1238" i="26"/>
  <c r="C1237" i="26"/>
  <c r="C1236" i="26"/>
  <c r="C1235" i="26"/>
  <c r="C1234" i="26"/>
  <c r="C1233" i="26"/>
  <c r="C1232" i="26"/>
  <c r="C1231" i="26"/>
  <c r="C1230" i="26"/>
  <c r="C1229" i="26"/>
  <c r="C1228" i="26"/>
  <c r="C1227" i="26"/>
  <c r="C1226" i="26"/>
  <c r="C1225" i="26"/>
  <c r="C1224" i="26"/>
  <c r="C1223" i="26"/>
  <c r="C1222" i="26"/>
  <c r="C1221" i="26"/>
  <c r="C1220" i="26"/>
  <c r="C1219" i="26"/>
  <c r="C1218" i="26"/>
  <c r="C1217" i="26"/>
  <c r="C1216" i="26"/>
  <c r="C1215" i="26"/>
  <c r="C1214" i="26"/>
  <c r="C1213" i="26"/>
  <c r="C1212" i="26"/>
  <c r="C1211" i="26"/>
  <c r="C1210" i="26"/>
  <c r="B23" i="10" l="1"/>
  <c r="B4" i="10"/>
  <c r="B11" i="10"/>
  <c r="B29" i="10"/>
  <c r="C11" i="10"/>
  <c r="C14" i="10"/>
  <c r="B7" i="10"/>
  <c r="B13" i="10"/>
  <c r="B16" i="10"/>
  <c r="B19" i="10"/>
  <c r="B22" i="10"/>
  <c r="B25" i="10"/>
  <c r="B28" i="10"/>
  <c r="B31" i="10"/>
  <c r="G2" i="10"/>
  <c r="C4" i="10"/>
  <c r="G5" i="10"/>
  <c r="C7" i="10"/>
  <c r="G8" i="10"/>
  <c r="C10" i="10"/>
  <c r="G11" i="10"/>
  <c r="C13" i="10"/>
  <c r="G14" i="10"/>
  <c r="C16" i="10"/>
  <c r="G17" i="10"/>
  <c r="C19" i="10"/>
  <c r="G20" i="10"/>
  <c r="C22" i="10"/>
  <c r="G23" i="10"/>
  <c r="C25" i="10"/>
  <c r="G26" i="10"/>
  <c r="C28" i="10"/>
  <c r="G29" i="10"/>
  <c r="C31" i="10"/>
  <c r="B2" i="10"/>
  <c r="C8" i="10"/>
  <c r="C23" i="10"/>
  <c r="C26" i="10"/>
  <c r="B10" i="10"/>
  <c r="H2" i="10"/>
  <c r="H5" i="10"/>
  <c r="H8" i="10"/>
  <c r="H11" i="10"/>
  <c r="H14" i="10"/>
  <c r="H17" i="10"/>
  <c r="H20" i="10"/>
  <c r="H23" i="10"/>
  <c r="H26" i="10"/>
  <c r="H29" i="10"/>
  <c r="C20" i="10"/>
  <c r="B3" i="10"/>
  <c r="B6" i="10"/>
  <c r="B9" i="10"/>
  <c r="B12" i="10"/>
  <c r="B15" i="10"/>
  <c r="B18" i="10"/>
  <c r="B21" i="10"/>
  <c r="B24" i="10"/>
  <c r="B27" i="10"/>
  <c r="C3" i="10"/>
  <c r="G4" i="10"/>
  <c r="C6" i="10"/>
  <c r="G7" i="10"/>
  <c r="C9" i="10"/>
  <c r="G10" i="10"/>
  <c r="C12" i="10"/>
  <c r="G13" i="10"/>
  <c r="C15" i="10"/>
  <c r="G16" i="10"/>
  <c r="C18" i="10"/>
  <c r="G19" i="10"/>
  <c r="C21" i="10"/>
  <c r="G22" i="10"/>
  <c r="C24" i="10"/>
  <c r="G25" i="10"/>
  <c r="C27" i="10"/>
  <c r="G28" i="10"/>
  <c r="C30" i="10"/>
  <c r="G31" i="10"/>
  <c r="B5" i="10"/>
  <c r="B14" i="10"/>
  <c r="B17" i="10"/>
  <c r="C17" i="10"/>
  <c r="C29" i="10"/>
  <c r="B30" i="10"/>
  <c r="J92" i="5" l="1"/>
  <c r="J91" i="5"/>
  <c r="H154" i="19" l="1"/>
  <c r="F154" i="19"/>
  <c r="F148" i="19"/>
  <c r="E160" i="1" l="1"/>
  <c r="A2" i="3"/>
  <c r="B2" i="3" s="1"/>
  <c r="H2" i="3"/>
  <c r="A3" i="3"/>
  <c r="B3" i="3"/>
  <c r="D3" i="3"/>
  <c r="H3" i="3"/>
  <c r="A4" i="3"/>
  <c r="B4" i="3" s="1"/>
  <c r="D4" i="3"/>
  <c r="H4" i="3"/>
  <c r="A5" i="3"/>
  <c r="B5" i="3" s="1"/>
  <c r="H5" i="3"/>
  <c r="A6" i="3"/>
  <c r="B6" i="3"/>
  <c r="D6" i="3"/>
  <c r="H6" i="3"/>
  <c r="A7" i="3"/>
  <c r="B7" i="3" s="1"/>
  <c r="D7" i="3"/>
  <c r="H7" i="3"/>
  <c r="A8" i="3"/>
  <c r="B8" i="3" s="1"/>
  <c r="D8" i="3"/>
  <c r="H8" i="3"/>
  <c r="A9" i="3"/>
  <c r="B9" i="3"/>
  <c r="H9" i="3"/>
  <c r="A10" i="3"/>
  <c r="B10" i="3" s="1"/>
  <c r="H10" i="3"/>
  <c r="A11" i="3"/>
  <c r="B11" i="3" s="1"/>
  <c r="D11" i="3"/>
  <c r="H11" i="3"/>
  <c r="A12" i="3"/>
  <c r="B12" i="3"/>
  <c r="D12" i="3"/>
  <c r="H12" i="3"/>
  <c r="A13" i="3"/>
  <c r="B13" i="3" s="1"/>
  <c r="H13" i="3"/>
  <c r="A14" i="3"/>
  <c r="B14" i="3" s="1"/>
  <c r="D14" i="3"/>
  <c r="H14" i="3"/>
  <c r="A15" i="3"/>
  <c r="B15" i="3"/>
  <c r="D15" i="3"/>
  <c r="H15" i="3"/>
  <c r="A16" i="3"/>
  <c r="B16" i="3" s="1"/>
  <c r="D16" i="3"/>
  <c r="H16" i="3"/>
  <c r="A17" i="3"/>
  <c r="B17" i="3" s="1"/>
  <c r="H17" i="3"/>
  <c r="A18" i="3"/>
  <c r="B18" i="3"/>
  <c r="D18" i="3"/>
  <c r="H18" i="3"/>
  <c r="A19" i="3"/>
  <c r="B19" i="3" s="1"/>
  <c r="D19" i="3"/>
  <c r="H19" i="3"/>
  <c r="A20" i="3"/>
  <c r="B20" i="3" s="1"/>
  <c r="D20" i="3"/>
  <c r="H20" i="3"/>
  <c r="A21" i="3"/>
  <c r="B21" i="3"/>
  <c r="D21" i="3"/>
  <c r="H21" i="3"/>
  <c r="A22" i="3"/>
  <c r="B22" i="3" s="1"/>
  <c r="D22" i="3"/>
  <c r="H22" i="3"/>
  <c r="A23" i="3"/>
  <c r="B23" i="3" s="1"/>
  <c r="D23" i="3"/>
  <c r="H23" i="3"/>
  <c r="A24" i="3"/>
  <c r="B24" i="3"/>
  <c r="H24" i="3"/>
  <c r="A25" i="3"/>
  <c r="B25" i="3" s="1"/>
  <c r="H25" i="3"/>
  <c r="A26" i="3"/>
  <c r="B26" i="3" s="1"/>
  <c r="D26" i="3"/>
  <c r="H26" i="3"/>
  <c r="A27" i="3"/>
  <c r="B27" i="3"/>
  <c r="D27" i="3"/>
  <c r="H27" i="3"/>
  <c r="A28" i="3"/>
  <c r="B28" i="3" s="1"/>
  <c r="H28" i="3"/>
  <c r="A29" i="3"/>
  <c r="B29" i="3"/>
  <c r="H29" i="3"/>
  <c r="A30" i="3"/>
  <c r="B30" i="3"/>
  <c r="D30" i="3"/>
  <c r="H30" i="3"/>
  <c r="A31" i="3"/>
  <c r="B31" i="3" s="1"/>
  <c r="H31" i="3"/>
  <c r="F182" i="23"/>
  <c r="F178" i="23"/>
  <c r="F171" i="23"/>
  <c r="F170" i="23"/>
  <c r="F169" i="23"/>
  <c r="F168" i="23"/>
  <c r="F167" i="23"/>
  <c r="F166" i="23"/>
  <c r="F165" i="23"/>
  <c r="F163" i="23"/>
  <c r="F183" i="23"/>
  <c r="F180" i="23"/>
  <c r="F179" i="23"/>
  <c r="F177" i="23"/>
  <c r="F175" i="23"/>
  <c r="F174" i="23"/>
  <c r="F173" i="23"/>
  <c r="F172" i="23"/>
  <c r="F164" i="23"/>
  <c r="F162" i="23"/>
  <c r="B39" i="23"/>
  <c r="B36" i="23"/>
  <c r="B35" i="23"/>
  <c r="C121" i="24"/>
  <c r="C36" i="24"/>
  <c r="C30" i="24"/>
  <c r="C4" i="24"/>
  <c r="C159" i="24"/>
  <c r="C158" i="24"/>
  <c r="C157" i="24"/>
  <c r="C156" i="24"/>
  <c r="C155" i="24"/>
  <c r="C153" i="24"/>
  <c r="C152" i="24"/>
  <c r="C151" i="24"/>
  <c r="C150" i="24"/>
  <c r="C149" i="24"/>
  <c r="C148" i="24"/>
  <c r="C147" i="24"/>
  <c r="C146" i="24"/>
  <c r="C145" i="24"/>
  <c r="C144" i="24"/>
  <c r="C143" i="24"/>
  <c r="C142" i="24"/>
  <c r="C141" i="24"/>
  <c r="C140" i="24"/>
  <c r="C139" i="24"/>
  <c r="C138" i="24"/>
  <c r="C137" i="24"/>
  <c r="C134" i="24"/>
  <c r="C133" i="24"/>
  <c r="C132" i="24"/>
  <c r="C131" i="24"/>
  <c r="C130" i="24"/>
  <c r="C129" i="24"/>
  <c r="C128" i="24"/>
  <c r="C126" i="24"/>
  <c r="C125" i="24"/>
  <c r="C124" i="24"/>
  <c r="C123" i="24"/>
  <c r="C122"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7" i="24"/>
  <c r="C86" i="24"/>
  <c r="C85" i="24"/>
  <c r="C84" i="24"/>
  <c r="C83" i="24"/>
  <c r="C82" i="24"/>
  <c r="C81" i="24"/>
  <c r="C80" i="24"/>
  <c r="C79" i="24"/>
  <c r="C78" i="24"/>
  <c r="C77" i="24"/>
  <c r="C76" i="24"/>
  <c r="C74" i="24"/>
  <c r="C73" i="24"/>
  <c r="C72" i="24"/>
  <c r="C71" i="24"/>
  <c r="C70" i="24"/>
  <c r="C69" i="24"/>
  <c r="C68" i="24"/>
  <c r="C67" i="24"/>
  <c r="C66" i="24"/>
  <c r="C65" i="24"/>
  <c r="C64" i="24"/>
  <c r="C62" i="24"/>
  <c r="C60" i="24"/>
  <c r="C59" i="24"/>
  <c r="C58" i="24"/>
  <c r="C57" i="24"/>
  <c r="C56" i="24"/>
  <c r="C55" i="24"/>
  <c r="C54" i="24"/>
  <c r="C53" i="24"/>
  <c r="C52" i="24"/>
  <c r="C51" i="24"/>
  <c r="C50" i="24"/>
  <c r="C49" i="24"/>
  <c r="C48" i="24"/>
  <c r="C47" i="24"/>
  <c r="C46" i="24"/>
  <c r="C45" i="24"/>
  <c r="C43" i="24"/>
  <c r="C42" i="24"/>
  <c r="C41" i="24"/>
  <c r="C40" i="24"/>
  <c r="C38" i="24"/>
  <c r="C37" i="24"/>
  <c r="C34" i="24"/>
  <c r="C33" i="24"/>
  <c r="C32" i="24"/>
  <c r="C31" i="24"/>
  <c r="C29" i="24"/>
  <c r="C28" i="24"/>
  <c r="C27" i="24"/>
  <c r="C26" i="24"/>
  <c r="C25" i="24"/>
  <c r="C24" i="24"/>
  <c r="C23" i="24"/>
  <c r="C22" i="24"/>
  <c r="C21" i="24"/>
  <c r="C20" i="24"/>
  <c r="C19" i="24"/>
  <c r="C18" i="24"/>
  <c r="C17" i="24"/>
  <c r="C16" i="24"/>
  <c r="C15" i="24"/>
  <c r="C14" i="24"/>
  <c r="C13" i="24"/>
  <c r="C12" i="24"/>
  <c r="C11" i="24"/>
  <c r="C10" i="24"/>
  <c r="C9" i="24"/>
  <c r="C8" i="24"/>
  <c r="C7" i="24"/>
  <c r="C6" i="24"/>
  <c r="C5" i="24"/>
  <c r="C3" i="24"/>
  <c r="A29" i="24"/>
  <c r="B36" i="24"/>
  <c r="D31" i="3" l="1"/>
  <c r="H159" i="19" l="1"/>
  <c r="H158" i="19"/>
  <c r="H157" i="19"/>
  <c r="H156" i="19"/>
  <c r="H155" i="19"/>
  <c r="H153" i="19"/>
  <c r="H152" i="19"/>
  <c r="H151" i="19"/>
  <c r="H150" i="19"/>
  <c r="H148" i="19"/>
  <c r="H147" i="19"/>
  <c r="H146" i="19"/>
  <c r="H145" i="19"/>
  <c r="H144" i="19"/>
  <c r="H143" i="19"/>
  <c r="H142" i="19"/>
  <c r="H141" i="19"/>
  <c r="H140" i="19"/>
  <c r="H139" i="19"/>
  <c r="H138" i="19"/>
  <c r="H137" i="19"/>
  <c r="H136" i="19"/>
  <c r="H135" i="19"/>
  <c r="H134" i="19"/>
  <c r="H133" i="19"/>
  <c r="H132" i="19"/>
  <c r="H131" i="19"/>
  <c r="H130" i="19"/>
  <c r="H129" i="19"/>
  <c r="H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2" i="19"/>
  <c r="G159" i="19"/>
  <c r="G158" i="19"/>
  <c r="G157" i="19"/>
  <c r="G156" i="19"/>
  <c r="G155" i="19"/>
  <c r="G154" i="19"/>
  <c r="G153" i="19"/>
  <c r="G152" i="19"/>
  <c r="G151" i="19"/>
  <c r="G150" i="19"/>
  <c r="G148" i="19"/>
  <c r="G147" i="19"/>
  <c r="G146" i="19"/>
  <c r="G145" i="19"/>
  <c r="G144" i="19"/>
  <c r="G142" i="19"/>
  <c r="G141" i="19"/>
  <c r="G140" i="19"/>
  <c r="G139" i="19"/>
  <c r="G138" i="19"/>
  <c r="G137" i="19"/>
  <c r="G134" i="19"/>
  <c r="G133" i="19"/>
  <c r="G132" i="19"/>
  <c r="G131" i="19"/>
  <c r="G130" i="19"/>
  <c r="G129" i="19"/>
  <c r="G128" i="19"/>
  <c r="G126" i="19"/>
  <c r="G125" i="19"/>
  <c r="G124" i="19"/>
  <c r="G123" i="19"/>
  <c r="G122" i="19"/>
  <c r="G121" i="19"/>
  <c r="G119" i="19"/>
  <c r="G118" i="19"/>
  <c r="G117" i="19"/>
  <c r="G116" i="19"/>
  <c r="G115" i="19"/>
  <c r="G114" i="19"/>
  <c r="G113" i="19"/>
  <c r="G112" i="19"/>
  <c r="G111" i="19"/>
  <c r="G110" i="19"/>
  <c r="G109" i="19"/>
  <c r="G108" i="19"/>
  <c r="G107" i="19"/>
  <c r="G106" i="19"/>
  <c r="G105" i="19"/>
  <c r="G104" i="19"/>
  <c r="G102" i="19"/>
  <c r="G101" i="19"/>
  <c r="G100" i="19"/>
  <c r="G99" i="19"/>
  <c r="G98" i="19"/>
  <c r="G97" i="19"/>
  <c r="G96" i="19"/>
  <c r="G95" i="19"/>
  <c r="G94" i="19"/>
  <c r="G93" i="19"/>
  <c r="G90" i="19"/>
  <c r="G89" i="19"/>
  <c r="G87" i="19"/>
  <c r="G86" i="19"/>
  <c r="G85" i="19"/>
  <c r="G84" i="19"/>
  <c r="G83" i="19"/>
  <c r="G82" i="19"/>
  <c r="G81" i="19"/>
  <c r="G80" i="19"/>
  <c r="G78" i="19"/>
  <c r="G77" i="19"/>
  <c r="G76" i="19"/>
  <c r="G75" i="19"/>
  <c r="G74" i="19"/>
  <c r="G73" i="19"/>
  <c r="G72" i="19"/>
  <c r="G71" i="19"/>
  <c r="G69" i="19"/>
  <c r="G68" i="19"/>
  <c r="G67" i="19"/>
  <c r="G66" i="19"/>
  <c r="G65" i="19"/>
  <c r="G64" i="19"/>
  <c r="G63" i="19"/>
  <c r="G62" i="19"/>
  <c r="G61" i="19"/>
  <c r="G60" i="19"/>
  <c r="G59" i="19"/>
  <c r="G58" i="19"/>
  <c r="G57" i="19"/>
  <c r="G56" i="19"/>
  <c r="G55" i="19"/>
  <c r="G54" i="19"/>
  <c r="G53" i="19"/>
  <c r="G52" i="19"/>
  <c r="G51" i="19"/>
  <c r="G50" i="19"/>
  <c r="G49" i="19"/>
  <c r="G48" i="19"/>
  <c r="G47" i="19"/>
  <c r="G46" i="19"/>
  <c r="G45" i="19"/>
  <c r="G44" i="19"/>
  <c r="G43" i="19"/>
  <c r="G42" i="19"/>
  <c r="G41" i="19"/>
  <c r="G40" i="19"/>
  <c r="G39" i="19"/>
  <c r="G38" i="19"/>
  <c r="G37" i="19"/>
  <c r="G35" i="19"/>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G5" i="19"/>
  <c r="G4" i="19"/>
  <c r="G3" i="19"/>
  <c r="G2" i="19"/>
  <c r="B85" i="9"/>
  <c r="B84" i="9"/>
  <c r="B179" i="9"/>
  <c r="B180" i="9"/>
  <c r="B177" i="9"/>
  <c r="B170" i="9"/>
  <c r="B169" i="9"/>
  <c r="B164" i="9"/>
  <c r="B163" i="9"/>
  <c r="B158" i="9"/>
  <c r="B157" i="9"/>
  <c r="B148" i="9"/>
  <c r="B141" i="9"/>
  <c r="B138" i="9"/>
  <c r="B136" i="9"/>
  <c r="B135" i="9"/>
  <c r="B129" i="9"/>
  <c r="B127" i="9"/>
  <c r="B122" i="9"/>
  <c r="B120" i="9"/>
  <c r="B75" i="9"/>
  <c r="B99" i="9"/>
  <c r="B89" i="9"/>
  <c r="B88" i="9"/>
  <c r="B82" i="9"/>
  <c r="B81" i="9"/>
  <c r="B79" i="9"/>
  <c r="B63" i="9"/>
  <c r="B61" i="9"/>
  <c r="B48" i="9"/>
  <c r="B44" i="9"/>
  <c r="B39" i="9"/>
  <c r="B37" i="9"/>
  <c r="B36" i="9"/>
  <c r="B35" i="9"/>
  <c r="B30" i="9"/>
  <c r="B12" i="9"/>
  <c r="B2" i="9"/>
  <c r="B4" i="9"/>
  <c r="B181" i="9"/>
  <c r="B178" i="9"/>
  <c r="B176" i="9"/>
  <c r="B175" i="9"/>
  <c r="B174" i="9"/>
  <c r="B173" i="9"/>
  <c r="B172" i="9"/>
  <c r="B171" i="9"/>
  <c r="B168" i="9"/>
  <c r="B167" i="9"/>
  <c r="B166" i="9"/>
  <c r="B165" i="9"/>
  <c r="B162" i="9"/>
  <c r="B159" i="9"/>
  <c r="B156" i="9"/>
  <c r="B155" i="9"/>
  <c r="B154" i="9"/>
  <c r="B153" i="9"/>
  <c r="B152" i="9"/>
  <c r="B151" i="9"/>
  <c r="B150" i="9"/>
  <c r="B149" i="9"/>
  <c r="B147" i="9"/>
  <c r="B146" i="9"/>
  <c r="B145" i="9"/>
  <c r="B144" i="9"/>
  <c r="B143" i="9"/>
  <c r="B142" i="9"/>
  <c r="B140" i="9"/>
  <c r="B139" i="9"/>
  <c r="B137" i="9"/>
  <c r="B134" i="9"/>
  <c r="B133" i="9"/>
  <c r="B132" i="9"/>
  <c r="B131" i="9"/>
  <c r="B130" i="9"/>
  <c r="B128" i="9"/>
  <c r="B126" i="9"/>
  <c r="B125" i="9"/>
  <c r="B124" i="9"/>
  <c r="B123" i="9"/>
  <c r="B121" i="9"/>
  <c r="B119" i="9"/>
  <c r="B118" i="9"/>
  <c r="B117" i="9"/>
  <c r="B116" i="9"/>
  <c r="B115" i="9"/>
  <c r="B114" i="9"/>
  <c r="B113" i="9"/>
  <c r="B112" i="9"/>
  <c r="B111" i="9"/>
  <c r="B110" i="9"/>
  <c r="B109" i="9"/>
  <c r="B108" i="9"/>
  <c r="B107" i="9"/>
  <c r="B106" i="9"/>
  <c r="B105" i="9"/>
  <c r="B104" i="9"/>
  <c r="B103" i="9"/>
  <c r="B102" i="9"/>
  <c r="B101" i="9"/>
  <c r="B100" i="9"/>
  <c r="B98" i="9"/>
  <c r="B97" i="9"/>
  <c r="B96" i="9"/>
  <c r="B95" i="9"/>
  <c r="B94" i="9"/>
  <c r="B93" i="9"/>
  <c r="B92" i="9"/>
  <c r="B91" i="9"/>
  <c r="B90" i="9"/>
  <c r="B87" i="9"/>
  <c r="B86" i="9"/>
  <c r="B83" i="9"/>
  <c r="B80" i="9"/>
  <c r="B78" i="9"/>
  <c r="B77" i="9"/>
  <c r="B76" i="9"/>
  <c r="B74" i="9"/>
  <c r="B73" i="9"/>
  <c r="B72" i="9"/>
  <c r="B71" i="9"/>
  <c r="B70" i="9"/>
  <c r="B69" i="9"/>
  <c r="B68" i="9"/>
  <c r="B67" i="9"/>
  <c r="B66" i="9"/>
  <c r="B65" i="9"/>
  <c r="B64" i="9"/>
  <c r="B62" i="9"/>
  <c r="B60" i="9"/>
  <c r="B59" i="9"/>
  <c r="B58" i="9"/>
  <c r="B57" i="9"/>
  <c r="B56" i="9"/>
  <c r="B55" i="9"/>
  <c r="B54" i="9"/>
  <c r="B53" i="9"/>
  <c r="B52" i="9"/>
  <c r="B51" i="9"/>
  <c r="B50" i="9"/>
  <c r="B49" i="9"/>
  <c r="B47" i="9"/>
  <c r="B46" i="9"/>
  <c r="B45" i="9"/>
  <c r="B43" i="9"/>
  <c r="B42" i="9"/>
  <c r="B41" i="9"/>
  <c r="B40" i="9"/>
  <c r="B38" i="9"/>
  <c r="B34" i="9"/>
  <c r="B33" i="9"/>
  <c r="B32" i="9"/>
  <c r="B31" i="9"/>
  <c r="B29" i="9"/>
  <c r="B28" i="9"/>
  <c r="B27" i="9"/>
  <c r="B26" i="9"/>
  <c r="B25" i="9"/>
  <c r="B24" i="9"/>
  <c r="B23" i="9"/>
  <c r="B22" i="9"/>
  <c r="B21" i="9"/>
  <c r="B20" i="9"/>
  <c r="B19" i="9"/>
  <c r="B18" i="9"/>
  <c r="B17" i="9"/>
  <c r="B16" i="9"/>
  <c r="B15" i="9"/>
  <c r="B14" i="9"/>
  <c r="B13" i="9"/>
  <c r="B11" i="9"/>
  <c r="B10" i="9"/>
  <c r="B9" i="9"/>
  <c r="B8" i="9"/>
  <c r="B7" i="9"/>
  <c r="B6" i="9"/>
  <c r="B5" i="9"/>
  <c r="B3" i="9"/>
  <c r="D120" i="5" l="1"/>
  <c r="D114" i="5"/>
  <c r="D113" i="5"/>
  <c r="D107" i="5"/>
  <c r="D103" i="5"/>
  <c r="D102" i="5"/>
  <c r="D101" i="5"/>
  <c r="D99" i="5"/>
  <c r="D98" i="5"/>
  <c r="D97" i="5"/>
  <c r="D96" i="5"/>
  <c r="D94" i="5"/>
  <c r="D93" i="5"/>
  <c r="D92" i="5"/>
  <c r="D91" i="5"/>
  <c r="D89" i="5"/>
  <c r="D88" i="5"/>
  <c r="D87" i="5"/>
  <c r="D85" i="5"/>
  <c r="D82" i="5"/>
  <c r="D81" i="5"/>
  <c r="D76" i="5"/>
  <c r="D75" i="5"/>
  <c r="D73" i="5"/>
  <c r="D70" i="5"/>
  <c r="D62" i="5"/>
  <c r="D61" i="5"/>
  <c r="D60" i="5"/>
  <c r="D58" i="5"/>
  <c r="D56" i="5"/>
  <c r="D55" i="5"/>
  <c r="D52" i="5"/>
  <c r="D46" i="5"/>
  <c r="D42" i="5"/>
  <c r="D41" i="5"/>
  <c r="D39" i="5"/>
  <c r="D37" i="5"/>
  <c r="D36" i="5"/>
  <c r="D35" i="5"/>
  <c r="D31" i="5"/>
  <c r="D30" i="5"/>
  <c r="D27" i="5"/>
  <c r="D26" i="5"/>
  <c r="D23" i="5"/>
  <c r="D22" i="5"/>
  <c r="D21" i="5"/>
  <c r="D20" i="5"/>
  <c r="D19" i="5"/>
  <c r="D18" i="5"/>
  <c r="D16" i="5"/>
  <c r="D15" i="5"/>
  <c r="D14" i="5"/>
  <c r="D12" i="5"/>
  <c r="D11" i="5"/>
  <c r="D8" i="5"/>
  <c r="D7" i="5"/>
  <c r="D6" i="5"/>
  <c r="D4" i="5"/>
  <c r="D3" i="5"/>
  <c r="J113" i="5"/>
  <c r="J112" i="5"/>
  <c r="J111" i="5"/>
  <c r="J110" i="5"/>
  <c r="J109" i="5"/>
  <c r="J108" i="5"/>
  <c r="J107" i="5"/>
  <c r="J106" i="5"/>
  <c r="J105" i="5"/>
  <c r="J104" i="5"/>
  <c r="J103" i="5"/>
  <c r="J102" i="5"/>
  <c r="J101" i="5"/>
  <c r="J100" i="5"/>
  <c r="J99" i="5"/>
  <c r="J98" i="5"/>
  <c r="J97" i="5"/>
  <c r="J96" i="5"/>
  <c r="J95" i="5"/>
  <c r="J94" i="5"/>
  <c r="J93"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I1319" i="26" l="1"/>
  <c r="I1318" i="26"/>
  <c r="I1317" i="26"/>
  <c r="I1316" i="26"/>
  <c r="I1315" i="26"/>
  <c r="I1314" i="26"/>
  <c r="I1313" i="26"/>
  <c r="I1312" i="26"/>
  <c r="I1311" i="26"/>
  <c r="I1310" i="26"/>
  <c r="I1309" i="26"/>
  <c r="I1308" i="26"/>
  <c r="I1307" i="26"/>
  <c r="I1306" i="26"/>
  <c r="I1305" i="26"/>
  <c r="I1304" i="26"/>
  <c r="I1303" i="26"/>
  <c r="I1302" i="26"/>
  <c r="I1301" i="26"/>
  <c r="I1300" i="26"/>
  <c r="I1299" i="26"/>
  <c r="I1298" i="26"/>
  <c r="I1297" i="26"/>
  <c r="I1296" i="26"/>
  <c r="I1295" i="26"/>
  <c r="I1294" i="26"/>
  <c r="I1293" i="26"/>
  <c r="I1292" i="26"/>
  <c r="I1291" i="26"/>
  <c r="I1290" i="26"/>
  <c r="I1289" i="26"/>
  <c r="I1288" i="26"/>
  <c r="I1287" i="26"/>
  <c r="I1286" i="26"/>
  <c r="I1285" i="26"/>
  <c r="I1284" i="26"/>
  <c r="I1283" i="26"/>
  <c r="I1282" i="26"/>
  <c r="I1281" i="26"/>
  <c r="I1280" i="26"/>
  <c r="I1279" i="26"/>
  <c r="I1278" i="26"/>
  <c r="I1277" i="26"/>
  <c r="I1276" i="26"/>
  <c r="I1275" i="26"/>
  <c r="I1274" i="26"/>
  <c r="I1273" i="26"/>
  <c r="I1272" i="26"/>
  <c r="I1271" i="26"/>
  <c r="I1270" i="26"/>
  <c r="I1269" i="26"/>
  <c r="I1268" i="26"/>
  <c r="I1267" i="26"/>
  <c r="I1266" i="26"/>
  <c r="I1265" i="26"/>
  <c r="I1264" i="26"/>
  <c r="I1263" i="26"/>
  <c r="I1262" i="26"/>
  <c r="I1261" i="26"/>
  <c r="I1260" i="26"/>
  <c r="I1259" i="26"/>
  <c r="I1258" i="26"/>
  <c r="I1257" i="26"/>
  <c r="I1256" i="26"/>
  <c r="I1255" i="26"/>
  <c r="I1254" i="26"/>
  <c r="I1253" i="26"/>
  <c r="I1252" i="26"/>
  <c r="I1251" i="26"/>
  <c r="I1250" i="26"/>
  <c r="I1249" i="26"/>
  <c r="I1248" i="26"/>
  <c r="I1247" i="26"/>
  <c r="I1246" i="26"/>
  <c r="I1245" i="26"/>
  <c r="I1244" i="26"/>
  <c r="I1243" i="26"/>
  <c r="I1242" i="26"/>
  <c r="I1241" i="26"/>
  <c r="I1240" i="26"/>
  <c r="I1239" i="26"/>
  <c r="I1238" i="26"/>
  <c r="I1237" i="26"/>
  <c r="I1236" i="26"/>
  <c r="I1235" i="26"/>
  <c r="I1234" i="26"/>
  <c r="I1233" i="26"/>
  <c r="I1232" i="26"/>
  <c r="I1231" i="26"/>
  <c r="I1230" i="26"/>
  <c r="I1229" i="26"/>
  <c r="I1228" i="26"/>
  <c r="I1227" i="26"/>
  <c r="I1226" i="26"/>
  <c r="I1225" i="26"/>
  <c r="I1224" i="26"/>
  <c r="I1223" i="26"/>
  <c r="I1222" i="26"/>
  <c r="I1221" i="26"/>
  <c r="I1220" i="26"/>
  <c r="I1219" i="26"/>
  <c r="I1218" i="26"/>
  <c r="I1217" i="26"/>
  <c r="I1216" i="26"/>
  <c r="I1215" i="26"/>
  <c r="I1214" i="26"/>
  <c r="I1213" i="26"/>
  <c r="I1212" i="26"/>
  <c r="I1211" i="26"/>
  <c r="I1210" i="26"/>
  <c r="I1209" i="26"/>
  <c r="I1208" i="26"/>
  <c r="I1207" i="26"/>
  <c r="I1206" i="26"/>
  <c r="I1205" i="26"/>
  <c r="I1204" i="26"/>
  <c r="I1203" i="26"/>
  <c r="I1202" i="26"/>
  <c r="I1201" i="26"/>
  <c r="I1200" i="26"/>
  <c r="I1199" i="26"/>
  <c r="I1198" i="26"/>
  <c r="I1197" i="26"/>
  <c r="I1196" i="26"/>
  <c r="I1195" i="26"/>
  <c r="I1194" i="26"/>
  <c r="I1193" i="26"/>
  <c r="I1192" i="26"/>
  <c r="I1191" i="26"/>
  <c r="C1209" i="26"/>
  <c r="C1208" i="26"/>
  <c r="C1207" i="26"/>
  <c r="C1206" i="26"/>
  <c r="C1205" i="26"/>
  <c r="C1204" i="26"/>
  <c r="C1203" i="26"/>
  <c r="C1202" i="26"/>
  <c r="C1201" i="26"/>
  <c r="C1200" i="26"/>
  <c r="C1199" i="26"/>
  <c r="C1198" i="26"/>
  <c r="C1197" i="26"/>
  <c r="C1196" i="26"/>
  <c r="C1195" i="26"/>
  <c r="C1194" i="26"/>
  <c r="C1193" i="26"/>
  <c r="C1192" i="26"/>
  <c r="C1191" i="26"/>
  <c r="C1190" i="26"/>
  <c r="C1189" i="26"/>
  <c r="C1188" i="26"/>
  <c r="C1187" i="26"/>
  <c r="C1186" i="26"/>
  <c r="C1185" i="26"/>
  <c r="C1184" i="26"/>
  <c r="C1183" i="26"/>
  <c r="C1182" i="26"/>
  <c r="C1181" i="26"/>
  <c r="C1180" i="26"/>
  <c r="C1179" i="26"/>
  <c r="C1178" i="26"/>
  <c r="C1177" i="26"/>
  <c r="C1176" i="26"/>
  <c r="C1175" i="26"/>
  <c r="C1174" i="26"/>
  <c r="C1173" i="26"/>
  <c r="C1172" i="26"/>
  <c r="C1171" i="26"/>
  <c r="C1170" i="26"/>
  <c r="C1169" i="26"/>
  <c r="C1168" i="26"/>
  <c r="C1167" i="26"/>
  <c r="C1166" i="26"/>
  <c r="C1165" i="26"/>
  <c r="C1164" i="26"/>
  <c r="C1163" i="26"/>
  <c r="C1162" i="26"/>
  <c r="C1161" i="26"/>
  <c r="C1160" i="26"/>
  <c r="C1159" i="26"/>
  <c r="C1158" i="26"/>
  <c r="C1157" i="26"/>
  <c r="C1156" i="26"/>
  <c r="C1155" i="26"/>
  <c r="C1154" i="26"/>
  <c r="C1153" i="26"/>
  <c r="C1152" i="26"/>
  <c r="C1151" i="26"/>
  <c r="C1150" i="26"/>
  <c r="C1149" i="26"/>
  <c r="C1148" i="26"/>
  <c r="C1147" i="26"/>
  <c r="C1146" i="26"/>
  <c r="C1145" i="26"/>
  <c r="C1144" i="26"/>
  <c r="C1143" i="26"/>
  <c r="C1142" i="26"/>
  <c r="C1141" i="26"/>
  <c r="C1140" i="26"/>
  <c r="C1139" i="26"/>
  <c r="C1138" i="26"/>
  <c r="C1137" i="26"/>
  <c r="C1136" i="26"/>
  <c r="C1135" i="26"/>
  <c r="C1134" i="26"/>
  <c r="C1133" i="26"/>
  <c r="C1132" i="26"/>
  <c r="C1131" i="26"/>
  <c r="C1130" i="26"/>
  <c r="C1129" i="26"/>
  <c r="C1128" i="26"/>
  <c r="C1127" i="26"/>
  <c r="C1126" i="26"/>
  <c r="C1125" i="26"/>
  <c r="C1124" i="26"/>
  <c r="C1123" i="26"/>
  <c r="C1122" i="26"/>
  <c r="C1121" i="26"/>
  <c r="C1120" i="26"/>
  <c r="C1119" i="26"/>
  <c r="C1118" i="26"/>
  <c r="C1117" i="26"/>
  <c r="C1116" i="26"/>
  <c r="C1115" i="26"/>
  <c r="C1114" i="26"/>
  <c r="C1113" i="26"/>
  <c r="C1112" i="26"/>
  <c r="C1111" i="26"/>
  <c r="C1110" i="26"/>
  <c r="C1109" i="26"/>
  <c r="C1108" i="26"/>
  <c r="C1107" i="26"/>
  <c r="C1106" i="26"/>
  <c r="C1105" i="26"/>
  <c r="C1104" i="26"/>
  <c r="C1103" i="26"/>
  <c r="C1102" i="26"/>
  <c r="C1101" i="26"/>
  <c r="C1100" i="26"/>
  <c r="C1099" i="26"/>
  <c r="C1098" i="26"/>
  <c r="C1097" i="26"/>
  <c r="C1096" i="26"/>
  <c r="C1095" i="26"/>
  <c r="C1094" i="26"/>
  <c r="C1093" i="26"/>
  <c r="C1092" i="26"/>
  <c r="C1091" i="26"/>
  <c r="C1090" i="26"/>
  <c r="C1089" i="26"/>
  <c r="C1088" i="26"/>
  <c r="F176" i="23"/>
  <c r="D187" i="10"/>
  <c r="C187" i="10"/>
  <c r="B187" i="10"/>
  <c r="I1190" i="26" l="1"/>
  <c r="I1189" i="26"/>
  <c r="I1188" i="26"/>
  <c r="I1187" i="26"/>
  <c r="I1186" i="26"/>
  <c r="I1185" i="26"/>
  <c r="I1184" i="26"/>
  <c r="I1183" i="26"/>
  <c r="I1182" i="26"/>
  <c r="I1181" i="26"/>
  <c r="I1180" i="26"/>
  <c r="I1179" i="26"/>
  <c r="I1178" i="26"/>
  <c r="I1177" i="26"/>
  <c r="I1176" i="26"/>
  <c r="I1175" i="26"/>
  <c r="I1174" i="26"/>
  <c r="I1173" i="26"/>
  <c r="I1172" i="26"/>
  <c r="I1171" i="26"/>
  <c r="I1170" i="26"/>
  <c r="I1169" i="26"/>
  <c r="I1168" i="26"/>
  <c r="I1167" i="26"/>
  <c r="I1166" i="26"/>
  <c r="I1165" i="26"/>
  <c r="I1164" i="26"/>
  <c r="I1163" i="26"/>
  <c r="I1162" i="26"/>
  <c r="I1161" i="26"/>
  <c r="I1160" i="26"/>
  <c r="I1159" i="26"/>
  <c r="I1158" i="26"/>
  <c r="I1157" i="26"/>
  <c r="I1156" i="26"/>
  <c r="I1155" i="26"/>
  <c r="I1154" i="26"/>
  <c r="I1153" i="26"/>
  <c r="I1152" i="26"/>
  <c r="I1151" i="26"/>
  <c r="I1150" i="26"/>
  <c r="I1149" i="26"/>
  <c r="I1148" i="26"/>
  <c r="I1147" i="26"/>
  <c r="I1146" i="26"/>
  <c r="I1145" i="26"/>
  <c r="I1144" i="26"/>
  <c r="I1143" i="26"/>
  <c r="I1142" i="26"/>
  <c r="I1141" i="26"/>
  <c r="I1140" i="26"/>
  <c r="I1139" i="26"/>
  <c r="I1138" i="26"/>
  <c r="I1137" i="26"/>
  <c r="I1136" i="26"/>
  <c r="I1135" i="26"/>
  <c r="I1134" i="26"/>
  <c r="I1133" i="26"/>
  <c r="I1132" i="26"/>
  <c r="I1131" i="26"/>
  <c r="I1130" i="26"/>
  <c r="I1129" i="26"/>
  <c r="I1128" i="26"/>
  <c r="I1127" i="26"/>
  <c r="I1126" i="26"/>
  <c r="I1125" i="26"/>
  <c r="I1124" i="26"/>
  <c r="I1123" i="26"/>
  <c r="I1122" i="26"/>
  <c r="I1121" i="26"/>
  <c r="I1120" i="26"/>
  <c r="I1119" i="26"/>
  <c r="I1118" i="26"/>
  <c r="I1117" i="26"/>
  <c r="I1116" i="26"/>
  <c r="I1115" i="26"/>
  <c r="I1114" i="26"/>
  <c r="I1113" i="26"/>
  <c r="I1112" i="26"/>
  <c r="I1111" i="26"/>
  <c r="I1110" i="26"/>
  <c r="I1109" i="26"/>
  <c r="I1108" i="26"/>
  <c r="I1107" i="26"/>
  <c r="I1106" i="26"/>
  <c r="I1105" i="26"/>
  <c r="I1104" i="26"/>
  <c r="I1103" i="26"/>
  <c r="I1102" i="26"/>
  <c r="I1101" i="26"/>
  <c r="I1100" i="26"/>
  <c r="I1099" i="26"/>
  <c r="I1098" i="26"/>
  <c r="I1097" i="26"/>
  <c r="I1096" i="26"/>
  <c r="I1095" i="26"/>
  <c r="I1094" i="26"/>
  <c r="I1093" i="26"/>
  <c r="I1092" i="26"/>
  <c r="I1091" i="26"/>
  <c r="I1090" i="26"/>
  <c r="I1089" i="26"/>
  <c r="I1088" i="26"/>
  <c r="I1087" i="26"/>
  <c r="I1086" i="26"/>
  <c r="I1085" i="26"/>
  <c r="I1084" i="26"/>
  <c r="I1083" i="26"/>
  <c r="I1082" i="26"/>
  <c r="I1081" i="26"/>
  <c r="I1080" i="26"/>
  <c r="I1079" i="26"/>
  <c r="I1078" i="26"/>
  <c r="I1077" i="26"/>
  <c r="I1076" i="26"/>
  <c r="I1075" i="26"/>
  <c r="I1074" i="26"/>
  <c r="I1073" i="26"/>
  <c r="I1072" i="26"/>
  <c r="I1071" i="26"/>
  <c r="I1070" i="26"/>
  <c r="I1069" i="26"/>
  <c r="I1068" i="26"/>
  <c r="I1067" i="26"/>
  <c r="I1066" i="26"/>
  <c r="I1065" i="26"/>
  <c r="I1064" i="26"/>
  <c r="I1063" i="26"/>
  <c r="I1062" i="26"/>
  <c r="I1061" i="26"/>
  <c r="I1060" i="26"/>
  <c r="I1059" i="26"/>
  <c r="I1058" i="26"/>
  <c r="I1057" i="26"/>
  <c r="I1056" i="26"/>
  <c r="I1055" i="26"/>
  <c r="I1054" i="26"/>
  <c r="I1053" i="26"/>
  <c r="I1052" i="26"/>
  <c r="I1051" i="26"/>
  <c r="I1050" i="26"/>
  <c r="I1049" i="26"/>
  <c r="I1048" i="26"/>
  <c r="I1047" i="26"/>
  <c r="I1046" i="26"/>
  <c r="I1045" i="26"/>
  <c r="I1044" i="26"/>
  <c r="I1043" i="26"/>
  <c r="I1042" i="26"/>
  <c r="I1041" i="26"/>
  <c r="I1040" i="26"/>
  <c r="I1039" i="26"/>
  <c r="I1038" i="26"/>
  <c r="I1037" i="26"/>
  <c r="I1036" i="26"/>
  <c r="I1035" i="26"/>
  <c r="I1034" i="26"/>
  <c r="I1033" i="26"/>
  <c r="I1032" i="26"/>
  <c r="I1031" i="26"/>
  <c r="I1030" i="26"/>
  <c r="I1029" i="26"/>
  <c r="I1028" i="26"/>
  <c r="I1027" i="26"/>
  <c r="I1026" i="26"/>
  <c r="I1025" i="26"/>
  <c r="I1024" i="26"/>
  <c r="I1023" i="26"/>
  <c r="I1022" i="26"/>
  <c r="I1021" i="26"/>
  <c r="I1020" i="26"/>
  <c r="I1019" i="26"/>
  <c r="I1018" i="26"/>
  <c r="I1017" i="26"/>
  <c r="I1016" i="26"/>
  <c r="I1015" i="26"/>
  <c r="I1014" i="26"/>
  <c r="I1013" i="26"/>
  <c r="I1012" i="26"/>
  <c r="I1011" i="26"/>
  <c r="I1010" i="26"/>
  <c r="I1009" i="26"/>
  <c r="I1008" i="26"/>
  <c r="I1007" i="26"/>
  <c r="I1006" i="26"/>
  <c r="I1005" i="26"/>
  <c r="I1004" i="26"/>
  <c r="I1003" i="26"/>
  <c r="I1002" i="26"/>
  <c r="I1001" i="26"/>
  <c r="I1000" i="26"/>
  <c r="I999" i="26"/>
  <c r="I998" i="26"/>
  <c r="I997" i="26"/>
  <c r="I996" i="26"/>
  <c r="I995" i="26"/>
  <c r="I994" i="26"/>
  <c r="I993" i="26"/>
  <c r="I992" i="26"/>
  <c r="I991" i="26"/>
  <c r="I990" i="26"/>
  <c r="I989" i="26"/>
  <c r="I988" i="26"/>
  <c r="I987" i="26"/>
  <c r="I986" i="26"/>
  <c r="I985" i="26"/>
  <c r="I984" i="26"/>
  <c r="I983" i="26"/>
  <c r="I982" i="26"/>
  <c r="I981" i="26"/>
  <c r="I980" i="26"/>
  <c r="I979" i="26"/>
  <c r="I978" i="26"/>
  <c r="I977" i="26"/>
  <c r="I976" i="26"/>
  <c r="I975" i="26"/>
  <c r="I974" i="26"/>
  <c r="I973" i="26"/>
  <c r="I972" i="26"/>
  <c r="I971" i="26"/>
  <c r="I970" i="26"/>
  <c r="I969" i="26"/>
  <c r="I968" i="26"/>
  <c r="I967" i="26"/>
  <c r="I966" i="26"/>
  <c r="I965" i="26"/>
  <c r="I964" i="26"/>
  <c r="I963" i="26"/>
  <c r="I962" i="26"/>
  <c r="I961" i="26"/>
  <c r="I960" i="26"/>
  <c r="I959" i="26"/>
  <c r="I958" i="26"/>
  <c r="I957" i="26"/>
  <c r="I956" i="26"/>
  <c r="I955" i="26"/>
  <c r="I954" i="26"/>
  <c r="I953" i="26"/>
  <c r="I952" i="26"/>
  <c r="I951" i="26"/>
  <c r="I950" i="26"/>
  <c r="I949" i="26"/>
  <c r="I948" i="26"/>
  <c r="I947" i="26"/>
  <c r="I946" i="26"/>
  <c r="I945" i="26"/>
  <c r="I944" i="26"/>
  <c r="I943" i="26"/>
  <c r="I942" i="26"/>
  <c r="I941" i="26"/>
  <c r="I940" i="26"/>
  <c r="I939" i="26"/>
  <c r="I938" i="26"/>
  <c r="I937" i="26"/>
  <c r="I936" i="26"/>
  <c r="I935" i="26"/>
  <c r="I934" i="26"/>
  <c r="I933" i="26"/>
  <c r="I932" i="26"/>
  <c r="I931" i="26"/>
  <c r="I930" i="26"/>
  <c r="I929" i="26"/>
  <c r="I928" i="26"/>
  <c r="I927" i="26"/>
  <c r="I926" i="26"/>
  <c r="I925" i="26"/>
  <c r="I924" i="26"/>
  <c r="I923" i="26"/>
  <c r="I922" i="26"/>
  <c r="I921" i="26"/>
  <c r="I920" i="26"/>
  <c r="I919" i="26"/>
  <c r="I918" i="26"/>
  <c r="I917" i="26"/>
  <c r="I916" i="26"/>
  <c r="I915" i="26"/>
  <c r="I914" i="26"/>
  <c r="I913" i="26"/>
  <c r="I912" i="26"/>
  <c r="I911" i="26"/>
  <c r="I910" i="26"/>
  <c r="I909" i="26"/>
  <c r="I908" i="26"/>
  <c r="I907" i="26"/>
  <c r="I906" i="26"/>
  <c r="I905" i="26"/>
  <c r="I904" i="26"/>
  <c r="I903" i="26"/>
  <c r="I902" i="26"/>
  <c r="I901" i="26"/>
  <c r="I900" i="26"/>
  <c r="I899" i="26"/>
  <c r="I898" i="26"/>
  <c r="I897" i="26"/>
  <c r="I896" i="26"/>
  <c r="I895" i="26"/>
  <c r="I894" i="26"/>
  <c r="I893" i="26"/>
  <c r="I892" i="26"/>
  <c r="I891" i="26"/>
  <c r="I890" i="26"/>
  <c r="I889" i="26"/>
  <c r="I888" i="26"/>
  <c r="I887" i="26"/>
  <c r="I886" i="26"/>
  <c r="I885" i="26"/>
  <c r="I884" i="26"/>
  <c r="I883" i="26"/>
  <c r="I882" i="26"/>
  <c r="I881" i="26"/>
  <c r="I880" i="26"/>
  <c r="I879" i="26"/>
  <c r="I878" i="26"/>
  <c r="I877" i="26"/>
  <c r="I876" i="26"/>
  <c r="I875" i="26"/>
  <c r="I874" i="26"/>
  <c r="I873" i="26"/>
  <c r="I872" i="26"/>
  <c r="I871" i="26"/>
  <c r="I870" i="26"/>
  <c r="I869" i="26"/>
  <c r="I868" i="26"/>
  <c r="I867" i="26"/>
  <c r="I866" i="26"/>
  <c r="I865" i="26"/>
  <c r="I864" i="26"/>
  <c r="I863" i="26"/>
  <c r="I862" i="26"/>
  <c r="I861" i="26"/>
  <c r="I860" i="26"/>
  <c r="I859" i="26"/>
  <c r="I858" i="26"/>
  <c r="I857" i="26"/>
  <c r="I856" i="26"/>
  <c r="I855" i="26"/>
  <c r="I854" i="26"/>
  <c r="I853" i="26"/>
  <c r="I852" i="26"/>
  <c r="I851" i="26"/>
  <c r="I850" i="26"/>
  <c r="I849" i="26"/>
  <c r="I848" i="26"/>
  <c r="I847" i="26"/>
  <c r="I846" i="26"/>
  <c r="I845" i="26"/>
  <c r="I844" i="26"/>
  <c r="I843" i="26"/>
  <c r="I842" i="26"/>
  <c r="I841" i="26"/>
  <c r="I840" i="26"/>
  <c r="I839" i="26"/>
  <c r="I838" i="26"/>
  <c r="I837" i="26"/>
  <c r="I836" i="26"/>
  <c r="I835" i="26"/>
  <c r="I834" i="26"/>
  <c r="I833" i="26"/>
  <c r="I832" i="26"/>
  <c r="I831" i="26"/>
  <c r="I830" i="26"/>
  <c r="I829" i="26"/>
  <c r="I828" i="26"/>
  <c r="I827" i="26"/>
  <c r="I826" i="26"/>
  <c r="I825" i="26"/>
  <c r="I824" i="26"/>
  <c r="I823" i="26"/>
  <c r="I822" i="26"/>
  <c r="I821" i="26"/>
  <c r="I820" i="26"/>
  <c r="I819" i="26"/>
  <c r="I818" i="26"/>
  <c r="I817" i="26"/>
  <c r="I816" i="26"/>
  <c r="I815" i="26"/>
  <c r="I814" i="26"/>
  <c r="I813" i="26"/>
  <c r="I812" i="26"/>
  <c r="I811" i="26"/>
  <c r="I810" i="26"/>
  <c r="I809" i="26"/>
  <c r="I808" i="26"/>
  <c r="I807" i="26"/>
  <c r="I806" i="26"/>
  <c r="I805" i="26"/>
  <c r="I804" i="26"/>
  <c r="I803" i="26"/>
  <c r="I802" i="26"/>
  <c r="I801" i="26"/>
  <c r="I800" i="26"/>
  <c r="I799" i="26"/>
  <c r="I798" i="26"/>
  <c r="I797" i="26"/>
  <c r="I796" i="26"/>
  <c r="I795" i="26"/>
  <c r="I794" i="26"/>
  <c r="I793" i="26"/>
  <c r="I792" i="26"/>
  <c r="I791" i="26"/>
  <c r="I790" i="26"/>
  <c r="I789" i="26"/>
  <c r="I788" i="26"/>
  <c r="I787" i="26"/>
  <c r="I786" i="26"/>
  <c r="I785" i="26"/>
  <c r="I784" i="26"/>
  <c r="I783" i="26"/>
  <c r="I782" i="26"/>
  <c r="I781" i="26"/>
  <c r="I780" i="26"/>
  <c r="I779" i="26"/>
  <c r="I778" i="26"/>
  <c r="I777" i="26"/>
  <c r="I776" i="26"/>
  <c r="I775" i="26"/>
  <c r="I774" i="26"/>
  <c r="I773" i="26"/>
  <c r="I772" i="26"/>
  <c r="I771" i="26"/>
  <c r="I770" i="26"/>
  <c r="I769" i="26"/>
  <c r="I768" i="26"/>
  <c r="I767" i="26"/>
  <c r="I766" i="26"/>
  <c r="I765" i="26"/>
  <c r="I764" i="26"/>
  <c r="I763" i="26"/>
  <c r="I762" i="26"/>
  <c r="I761" i="26"/>
  <c r="I760" i="26"/>
  <c r="I759" i="26"/>
  <c r="I758" i="26"/>
  <c r="I757" i="26"/>
  <c r="I756" i="26"/>
  <c r="I755" i="26"/>
  <c r="I754" i="26"/>
  <c r="I753" i="26"/>
  <c r="I752" i="26"/>
  <c r="I751" i="26"/>
  <c r="I750" i="26"/>
  <c r="I749" i="26"/>
  <c r="I748" i="26"/>
  <c r="I747" i="26"/>
  <c r="I746" i="26"/>
  <c r="I745" i="26"/>
  <c r="I744" i="26"/>
  <c r="I743" i="26"/>
  <c r="I742" i="26"/>
  <c r="I741" i="26"/>
  <c r="I740" i="26"/>
  <c r="I739" i="26"/>
  <c r="I738" i="26"/>
  <c r="I737" i="26"/>
  <c r="I736" i="26"/>
  <c r="I735" i="26"/>
  <c r="I734" i="26"/>
  <c r="I733" i="26"/>
  <c r="I732" i="26"/>
  <c r="I731" i="26"/>
  <c r="I730" i="26"/>
  <c r="I729" i="26"/>
  <c r="I728" i="26"/>
  <c r="I727" i="26"/>
  <c r="I726" i="26"/>
  <c r="I725" i="26"/>
  <c r="I724" i="26"/>
  <c r="I723" i="26"/>
  <c r="I722" i="26"/>
  <c r="I721" i="26"/>
  <c r="I720" i="26"/>
  <c r="I719" i="26"/>
  <c r="I718" i="26"/>
  <c r="I717" i="26"/>
  <c r="I716" i="26"/>
  <c r="I715" i="26"/>
  <c r="I714" i="26"/>
  <c r="I713" i="26"/>
  <c r="I712" i="26"/>
  <c r="I711" i="26"/>
  <c r="I710" i="26"/>
  <c r="I709" i="26"/>
  <c r="I708" i="26"/>
  <c r="I707" i="26"/>
  <c r="I706" i="26"/>
  <c r="I705" i="26"/>
  <c r="I704" i="26"/>
  <c r="I703" i="26"/>
  <c r="I702" i="26"/>
  <c r="I701" i="26"/>
  <c r="I700" i="26"/>
  <c r="I699" i="26"/>
  <c r="I698" i="26"/>
  <c r="I697" i="26"/>
  <c r="I696" i="26"/>
  <c r="I695" i="26"/>
  <c r="I694" i="26"/>
  <c r="I693" i="26"/>
  <c r="I692" i="26"/>
  <c r="I691" i="26"/>
  <c r="I690" i="26"/>
  <c r="I689" i="26"/>
  <c r="I688" i="26"/>
  <c r="I687" i="26"/>
  <c r="I686" i="26"/>
  <c r="I685" i="26"/>
  <c r="I684" i="26"/>
  <c r="I683" i="26"/>
  <c r="I682" i="26"/>
  <c r="I681" i="26"/>
  <c r="I680" i="26"/>
  <c r="I679" i="26"/>
  <c r="I678" i="26"/>
  <c r="I677" i="26"/>
  <c r="I676" i="26"/>
  <c r="I675" i="26"/>
  <c r="I674" i="26"/>
  <c r="I673" i="26"/>
  <c r="I672" i="26"/>
  <c r="I671" i="26"/>
  <c r="I670" i="26"/>
  <c r="I669" i="26"/>
  <c r="I668" i="26"/>
  <c r="I667" i="26"/>
  <c r="I666" i="26"/>
  <c r="I665" i="26"/>
  <c r="I664" i="26"/>
  <c r="I663" i="26"/>
  <c r="I662" i="26"/>
  <c r="I661" i="26"/>
  <c r="I660" i="26"/>
  <c r="I659" i="26"/>
  <c r="I658" i="26"/>
  <c r="I657" i="26"/>
  <c r="I656" i="26"/>
  <c r="I655" i="26"/>
  <c r="I654" i="26"/>
  <c r="I653" i="26"/>
  <c r="I652" i="26"/>
  <c r="I651" i="26"/>
  <c r="I650" i="26"/>
  <c r="I649" i="26"/>
  <c r="I648" i="26"/>
  <c r="I647" i="26"/>
  <c r="I646" i="26"/>
  <c r="I645" i="26"/>
  <c r="I644" i="26"/>
  <c r="I643" i="26"/>
  <c r="I642" i="26"/>
  <c r="I641" i="26"/>
  <c r="I640" i="26"/>
  <c r="I639" i="26"/>
  <c r="I638" i="26"/>
  <c r="I637" i="26"/>
  <c r="I636" i="26"/>
  <c r="I635" i="26"/>
  <c r="I634" i="26"/>
  <c r="I633" i="26"/>
  <c r="I632" i="26"/>
  <c r="I631" i="26"/>
  <c r="I630" i="26"/>
  <c r="I629" i="26"/>
  <c r="I628" i="26"/>
  <c r="I627" i="26"/>
  <c r="I626" i="26"/>
  <c r="I625" i="26"/>
  <c r="I624" i="26"/>
  <c r="I623" i="26"/>
  <c r="I622" i="26"/>
  <c r="I621" i="26"/>
  <c r="I620" i="26"/>
  <c r="I619" i="26"/>
  <c r="I618" i="26"/>
  <c r="I617" i="26"/>
  <c r="I616" i="26"/>
  <c r="I615" i="26"/>
  <c r="I614" i="26"/>
  <c r="I613" i="26"/>
  <c r="I612" i="26"/>
  <c r="I611" i="26"/>
  <c r="I610" i="26"/>
  <c r="I609" i="26"/>
  <c r="I608" i="26"/>
  <c r="I607" i="26"/>
  <c r="I606" i="26"/>
  <c r="I605" i="26"/>
  <c r="I604" i="26"/>
  <c r="I603" i="26"/>
  <c r="I602" i="26"/>
  <c r="I601" i="26"/>
  <c r="I600" i="26"/>
  <c r="I599" i="26"/>
  <c r="I598" i="26"/>
  <c r="I597" i="26"/>
  <c r="I596" i="26"/>
  <c r="I595" i="26"/>
  <c r="I594" i="26"/>
  <c r="I593" i="26"/>
  <c r="I592" i="26"/>
  <c r="I591" i="26"/>
  <c r="I590" i="26"/>
  <c r="I589" i="26"/>
  <c r="I588" i="26"/>
  <c r="I587" i="26"/>
  <c r="I586" i="26"/>
  <c r="I585" i="26"/>
  <c r="I584" i="26"/>
  <c r="I583" i="26"/>
  <c r="I582" i="26"/>
  <c r="I581" i="26"/>
  <c r="I580" i="26"/>
  <c r="I579" i="26"/>
  <c r="I578" i="26"/>
  <c r="I577" i="26"/>
  <c r="I576" i="26"/>
  <c r="I575" i="26"/>
  <c r="I574" i="26"/>
  <c r="I573" i="26"/>
  <c r="I572" i="26"/>
  <c r="I571" i="26"/>
  <c r="I570" i="26"/>
  <c r="I569" i="26"/>
  <c r="I568" i="26"/>
  <c r="I567" i="26"/>
  <c r="I566" i="26"/>
  <c r="I565" i="26"/>
  <c r="I564" i="26"/>
  <c r="I563" i="26"/>
  <c r="I562" i="26"/>
  <c r="I561" i="26"/>
  <c r="I560" i="26"/>
  <c r="I559" i="26"/>
  <c r="I558" i="26"/>
  <c r="I557" i="26"/>
  <c r="I556" i="26"/>
  <c r="I555" i="26"/>
  <c r="I554" i="26"/>
  <c r="I553" i="26"/>
  <c r="I552" i="26"/>
  <c r="I551" i="26"/>
  <c r="I550" i="26"/>
  <c r="I549" i="26"/>
  <c r="I548" i="26"/>
  <c r="I547" i="26"/>
  <c r="I546" i="26"/>
  <c r="I545" i="26"/>
  <c r="I544" i="26"/>
  <c r="I543" i="26"/>
  <c r="I542" i="26"/>
  <c r="I541" i="26"/>
  <c r="I540" i="26"/>
  <c r="I539" i="26"/>
  <c r="I538" i="26"/>
  <c r="I537" i="26"/>
  <c r="I536" i="26"/>
  <c r="I535" i="26"/>
  <c r="I534" i="26"/>
  <c r="I533" i="26"/>
  <c r="I532" i="26"/>
  <c r="I531" i="26"/>
  <c r="I530" i="26"/>
  <c r="I529" i="26"/>
  <c r="I528" i="26"/>
  <c r="I527" i="26"/>
  <c r="I526" i="26"/>
  <c r="I525" i="26"/>
  <c r="I524" i="26"/>
  <c r="I523" i="26"/>
  <c r="I522" i="26"/>
  <c r="I521" i="26"/>
  <c r="I520" i="26"/>
  <c r="I519" i="26"/>
  <c r="I518" i="26"/>
  <c r="I517" i="26"/>
  <c r="I516" i="26"/>
  <c r="I515" i="26"/>
  <c r="I514" i="26"/>
  <c r="I513" i="26"/>
  <c r="I512" i="26"/>
  <c r="I511" i="26"/>
  <c r="I510" i="26"/>
  <c r="I509" i="26"/>
  <c r="I508" i="26"/>
  <c r="I507" i="26"/>
  <c r="I506" i="26"/>
  <c r="I505" i="26"/>
  <c r="I504" i="26"/>
  <c r="I503" i="26"/>
  <c r="I502" i="26"/>
  <c r="I501" i="26"/>
  <c r="I500" i="26"/>
  <c r="I499" i="26"/>
  <c r="I498" i="26"/>
  <c r="I497" i="26"/>
  <c r="I496" i="26"/>
  <c r="I495" i="26"/>
  <c r="I494" i="26"/>
  <c r="I493" i="26"/>
  <c r="I492" i="26"/>
  <c r="I491" i="26"/>
  <c r="I490" i="26"/>
  <c r="I489" i="26"/>
  <c r="I488" i="26"/>
  <c r="I487" i="26"/>
  <c r="I486" i="26"/>
  <c r="I485" i="26"/>
  <c r="I484" i="26"/>
  <c r="I483" i="26"/>
  <c r="I482" i="26"/>
  <c r="I481" i="26"/>
  <c r="I480" i="26"/>
  <c r="I479" i="26"/>
  <c r="I478" i="26"/>
  <c r="I477" i="26"/>
  <c r="I476" i="26"/>
  <c r="I475" i="26"/>
  <c r="I474" i="26"/>
  <c r="I473" i="26"/>
  <c r="I472" i="26"/>
  <c r="I471" i="26"/>
  <c r="I470" i="26"/>
  <c r="I469" i="26"/>
  <c r="I468" i="26"/>
  <c r="I467" i="26"/>
  <c r="I466" i="26"/>
  <c r="I465" i="26"/>
  <c r="I464" i="26"/>
  <c r="I463" i="26"/>
  <c r="I462" i="26"/>
  <c r="I461" i="26"/>
  <c r="I460" i="26"/>
  <c r="I459" i="26"/>
  <c r="I458" i="26"/>
  <c r="I457" i="26"/>
  <c r="I456" i="26"/>
  <c r="I455" i="26"/>
  <c r="I454" i="26"/>
  <c r="I453" i="26"/>
  <c r="I452" i="26"/>
  <c r="I451" i="26"/>
  <c r="I450" i="26"/>
  <c r="I449" i="26"/>
  <c r="I448" i="26"/>
  <c r="I447" i="26"/>
  <c r="I446" i="26"/>
  <c r="I445" i="26"/>
  <c r="I444" i="26"/>
  <c r="I443" i="26"/>
  <c r="I442" i="26"/>
  <c r="I441" i="26"/>
  <c r="I440" i="26"/>
  <c r="I439" i="26"/>
  <c r="I438" i="26"/>
  <c r="I437" i="26"/>
  <c r="I436" i="26"/>
  <c r="I435" i="26"/>
  <c r="I434" i="26"/>
  <c r="I433" i="26"/>
  <c r="I432" i="26"/>
  <c r="I431" i="26"/>
  <c r="I430" i="26"/>
  <c r="I429" i="26"/>
  <c r="I428" i="26"/>
  <c r="I427" i="26"/>
  <c r="I426" i="26"/>
  <c r="I425" i="26"/>
  <c r="I424" i="26"/>
  <c r="I423" i="26"/>
  <c r="I422" i="26"/>
  <c r="I421" i="26"/>
  <c r="I420" i="26"/>
  <c r="I419" i="26"/>
  <c r="I418" i="26"/>
  <c r="I417" i="26"/>
  <c r="I416" i="26"/>
  <c r="I415" i="26"/>
  <c r="I414" i="26"/>
  <c r="I413" i="26"/>
  <c r="I412" i="26"/>
  <c r="I411" i="26"/>
  <c r="I410" i="26"/>
  <c r="I409" i="26"/>
  <c r="I408" i="26"/>
  <c r="I407" i="26"/>
  <c r="I406" i="26"/>
  <c r="I405" i="26"/>
  <c r="I404" i="26"/>
  <c r="I403" i="26"/>
  <c r="I402" i="26"/>
  <c r="I401" i="26"/>
  <c r="I400" i="26"/>
  <c r="I399" i="26"/>
  <c r="I398" i="26"/>
  <c r="I397" i="26"/>
  <c r="I396" i="26"/>
  <c r="I395" i="26"/>
  <c r="I394" i="26"/>
  <c r="I393" i="26"/>
  <c r="I392" i="26"/>
  <c r="I391" i="26"/>
  <c r="I390" i="26"/>
  <c r="I389" i="26"/>
  <c r="I388" i="26"/>
  <c r="I387" i="26"/>
  <c r="I386" i="26"/>
  <c r="I385" i="26"/>
  <c r="I384" i="26"/>
  <c r="I383" i="26"/>
  <c r="I382" i="26"/>
  <c r="I381" i="26"/>
  <c r="I380" i="26"/>
  <c r="I379" i="26"/>
  <c r="I378" i="26"/>
  <c r="I377" i="26"/>
  <c r="I376" i="26"/>
  <c r="I375" i="26"/>
  <c r="I374" i="26"/>
  <c r="I373" i="26"/>
  <c r="I372" i="26"/>
  <c r="I371" i="26"/>
  <c r="I370" i="26"/>
  <c r="I369" i="26"/>
  <c r="I368" i="26"/>
  <c r="I367" i="26"/>
  <c r="I366" i="26"/>
  <c r="I365" i="26"/>
  <c r="I364" i="26"/>
  <c r="I363" i="26"/>
  <c r="I362" i="26"/>
  <c r="I361" i="26"/>
  <c r="I360" i="26"/>
  <c r="I359" i="26"/>
  <c r="I358" i="26"/>
  <c r="I357" i="26"/>
  <c r="I356" i="26"/>
  <c r="I355" i="26"/>
  <c r="I354" i="26"/>
  <c r="I353" i="26"/>
  <c r="I352" i="26"/>
  <c r="I351" i="26"/>
  <c r="I350" i="26"/>
  <c r="I349" i="26"/>
  <c r="I348" i="26"/>
  <c r="I347" i="26"/>
  <c r="I346" i="26"/>
  <c r="I345" i="26"/>
  <c r="I344" i="26"/>
  <c r="I343" i="26"/>
  <c r="I342" i="26"/>
  <c r="I341" i="26"/>
  <c r="I340" i="26"/>
  <c r="I339" i="26"/>
  <c r="I338" i="26"/>
  <c r="I337" i="26"/>
  <c r="I336" i="26"/>
  <c r="I335" i="26"/>
  <c r="I334" i="26"/>
  <c r="I333" i="26"/>
  <c r="I332" i="26"/>
  <c r="I331" i="26"/>
  <c r="I330" i="26"/>
  <c r="I329" i="26"/>
  <c r="I328" i="26"/>
  <c r="I327" i="26"/>
  <c r="I326" i="26"/>
  <c r="I325" i="26"/>
  <c r="I324" i="26"/>
  <c r="I323" i="26"/>
  <c r="I322" i="26"/>
  <c r="I321" i="26"/>
  <c r="I320" i="26"/>
  <c r="I319" i="26"/>
  <c r="I318" i="26"/>
  <c r="I317" i="26"/>
  <c r="I316" i="26"/>
  <c r="I315" i="26"/>
  <c r="I314" i="26"/>
  <c r="I313" i="26"/>
  <c r="I312" i="26"/>
  <c r="I311" i="26"/>
  <c r="I310" i="26"/>
  <c r="I309" i="26"/>
  <c r="I308" i="26"/>
  <c r="I307" i="26"/>
  <c r="I306" i="26"/>
  <c r="I305" i="26"/>
  <c r="I304" i="26"/>
  <c r="I303" i="26"/>
  <c r="I302" i="26"/>
  <c r="I301" i="26"/>
  <c r="I300" i="26"/>
  <c r="I299" i="26"/>
  <c r="I298" i="26"/>
  <c r="I297" i="26"/>
  <c r="I296" i="26"/>
  <c r="I295" i="26"/>
  <c r="I294" i="26"/>
  <c r="I293" i="26"/>
  <c r="I292" i="26"/>
  <c r="I291" i="26"/>
  <c r="I290" i="26"/>
  <c r="I289" i="26"/>
  <c r="I288" i="26"/>
  <c r="I287" i="26"/>
  <c r="I286" i="26"/>
  <c r="I285" i="26"/>
  <c r="I284" i="26"/>
  <c r="I283" i="26"/>
  <c r="I282" i="26"/>
  <c r="I281" i="26"/>
  <c r="I280" i="26"/>
  <c r="I279" i="26"/>
  <c r="I278" i="26"/>
  <c r="I277" i="26"/>
  <c r="I276" i="26"/>
  <c r="I275" i="26"/>
  <c r="I274" i="26"/>
  <c r="I273" i="26"/>
  <c r="I272" i="26"/>
  <c r="I271" i="26"/>
  <c r="I270" i="26"/>
  <c r="I269" i="26"/>
  <c r="I268" i="26"/>
  <c r="I267" i="26"/>
  <c r="I266" i="26"/>
  <c r="I265" i="26"/>
  <c r="I264" i="26"/>
  <c r="I263" i="26"/>
  <c r="I262" i="26"/>
  <c r="I261" i="26"/>
  <c r="I260" i="26"/>
  <c r="I259" i="26"/>
  <c r="I258" i="26"/>
  <c r="I257" i="26"/>
  <c r="I256" i="26"/>
  <c r="I255" i="26"/>
  <c r="I254" i="26"/>
  <c r="I253" i="26"/>
  <c r="I252" i="26"/>
  <c r="I251" i="26"/>
  <c r="I250" i="26"/>
  <c r="I249" i="26"/>
  <c r="I248" i="26"/>
  <c r="I247" i="26"/>
  <c r="I246" i="26"/>
  <c r="I245" i="26"/>
  <c r="I244" i="26"/>
  <c r="I243" i="26"/>
  <c r="I242" i="26"/>
  <c r="I241" i="26"/>
  <c r="I240" i="26"/>
  <c r="I239" i="26"/>
  <c r="I238" i="26"/>
  <c r="I237" i="26"/>
  <c r="I236" i="26"/>
  <c r="I235" i="26"/>
  <c r="I234" i="26"/>
  <c r="I233" i="26"/>
  <c r="I232" i="26"/>
  <c r="I231" i="26"/>
  <c r="I230" i="26"/>
  <c r="I229" i="26"/>
  <c r="I228" i="26"/>
  <c r="I227" i="26"/>
  <c r="I226" i="26"/>
  <c r="I225" i="26"/>
  <c r="I224" i="26"/>
  <c r="I223" i="26"/>
  <c r="I222" i="26"/>
  <c r="I221" i="26"/>
  <c r="I220" i="26"/>
  <c r="I219" i="26"/>
  <c r="I218" i="26"/>
  <c r="I217" i="26"/>
  <c r="I216" i="26"/>
  <c r="I215" i="26"/>
  <c r="I214" i="26"/>
  <c r="I213" i="26"/>
  <c r="I212" i="26"/>
  <c r="I211" i="26"/>
  <c r="I210" i="26"/>
  <c r="I209" i="26"/>
  <c r="I208" i="26"/>
  <c r="I207" i="26"/>
  <c r="I206" i="26"/>
  <c r="I205" i="26"/>
  <c r="I204" i="26"/>
  <c r="I203" i="26"/>
  <c r="I202" i="26"/>
  <c r="I201" i="26"/>
  <c r="I200" i="26"/>
  <c r="I199" i="26"/>
  <c r="I198" i="26"/>
  <c r="I197" i="26"/>
  <c r="I196" i="26"/>
  <c r="I195" i="26"/>
  <c r="I194" i="26"/>
  <c r="I193" i="26"/>
  <c r="I192" i="26"/>
  <c r="I191" i="26"/>
  <c r="I190" i="26"/>
  <c r="I189" i="26"/>
  <c r="I188" i="26"/>
  <c r="I187" i="26"/>
  <c r="I186" i="26"/>
  <c r="I185" i="26"/>
  <c r="I184" i="26"/>
  <c r="I183" i="26"/>
  <c r="I182" i="26"/>
  <c r="I181" i="26"/>
  <c r="I180" i="26"/>
  <c r="I179" i="26"/>
  <c r="I178" i="26"/>
  <c r="I177" i="26"/>
  <c r="I176" i="26"/>
  <c r="I175" i="26"/>
  <c r="I174" i="26"/>
  <c r="I173" i="26"/>
  <c r="I172" i="26"/>
  <c r="I171" i="26"/>
  <c r="I170" i="26"/>
  <c r="I169" i="26"/>
  <c r="I168" i="26"/>
  <c r="I167" i="26"/>
  <c r="I166" i="26"/>
  <c r="I165" i="26"/>
  <c r="I164" i="26"/>
  <c r="I163" i="26"/>
  <c r="I162" i="26"/>
  <c r="I161" i="26"/>
  <c r="I160" i="26"/>
  <c r="I159" i="26"/>
  <c r="I158" i="26"/>
  <c r="I157" i="26"/>
  <c r="I156" i="26"/>
  <c r="I155" i="26"/>
  <c r="I154" i="26"/>
  <c r="I153" i="26"/>
  <c r="I152" i="26"/>
  <c r="I151" i="26"/>
  <c r="I150" i="26"/>
  <c r="I149" i="26"/>
  <c r="I148" i="26"/>
  <c r="I147" i="26"/>
  <c r="I146" i="26"/>
  <c r="I145" i="26"/>
  <c r="I144" i="26"/>
  <c r="I143" i="26"/>
  <c r="I142" i="26"/>
  <c r="I141" i="26"/>
  <c r="I140" i="26"/>
  <c r="I139" i="26"/>
  <c r="I138" i="26"/>
  <c r="I137" i="26"/>
  <c r="I136" i="26"/>
  <c r="I135" i="26"/>
  <c r="I134" i="26"/>
  <c r="I133" i="26"/>
  <c r="I132" i="26"/>
  <c r="I131" i="26"/>
  <c r="I130" i="26"/>
  <c r="I129" i="26"/>
  <c r="I128" i="26"/>
  <c r="I127" i="26"/>
  <c r="I126" i="26"/>
  <c r="I125" i="26"/>
  <c r="I124" i="26"/>
  <c r="I123" i="26"/>
  <c r="I122" i="26"/>
  <c r="I121" i="26"/>
  <c r="I120" i="26"/>
  <c r="I119" i="26"/>
  <c r="I118" i="26"/>
  <c r="I117" i="26"/>
  <c r="I116" i="26"/>
  <c r="I115" i="26"/>
  <c r="I114" i="26"/>
  <c r="I113" i="26"/>
  <c r="I112" i="26"/>
  <c r="I111" i="26"/>
  <c r="I110" i="26"/>
  <c r="I109" i="26"/>
  <c r="I108" i="26"/>
  <c r="I107" i="26"/>
  <c r="I106" i="26"/>
  <c r="I105" i="26"/>
  <c r="I104" i="26"/>
  <c r="I103" i="26"/>
  <c r="I102" i="26"/>
  <c r="I101" i="26"/>
  <c r="I100" i="26"/>
  <c r="I99" i="26"/>
  <c r="I98" i="26"/>
  <c r="I97" i="26"/>
  <c r="I96" i="26"/>
  <c r="I95" i="26"/>
  <c r="I94" i="26"/>
  <c r="I93" i="26"/>
  <c r="I92" i="26"/>
  <c r="I91" i="26"/>
  <c r="I90" i="26"/>
  <c r="I89" i="26"/>
  <c r="I88" i="26"/>
  <c r="I87" i="26"/>
  <c r="I86" i="26"/>
  <c r="I85" i="26"/>
  <c r="I84" i="26"/>
  <c r="I83" i="26"/>
  <c r="I82" i="26"/>
  <c r="I81" i="26"/>
  <c r="I80" i="26"/>
  <c r="I79" i="26"/>
  <c r="I78" i="26"/>
  <c r="I77" i="26"/>
  <c r="I76" i="26"/>
  <c r="I75" i="26"/>
  <c r="I74" i="26"/>
  <c r="I73" i="26"/>
  <c r="I72" i="26"/>
  <c r="I71" i="26"/>
  <c r="I70" i="26"/>
  <c r="I69" i="26"/>
  <c r="I68" i="26"/>
  <c r="I67" i="26"/>
  <c r="I66" i="26"/>
  <c r="I65" i="26"/>
  <c r="I64" i="26"/>
  <c r="I63" i="26"/>
  <c r="I62" i="26"/>
  <c r="I61" i="26"/>
  <c r="I60" i="26"/>
  <c r="I59" i="26"/>
  <c r="I58" i="26"/>
  <c r="I57" i="26"/>
  <c r="I56" i="26"/>
  <c r="I55" i="26"/>
  <c r="I54" i="26"/>
  <c r="I53" i="26"/>
  <c r="I52" i="26"/>
  <c r="I51" i="26"/>
  <c r="I50" i="26"/>
  <c r="I49" i="26"/>
  <c r="I48" i="26"/>
  <c r="I47" i="26"/>
  <c r="I46" i="26"/>
  <c r="I45" i="26"/>
  <c r="I44" i="26"/>
  <c r="I43" i="26"/>
  <c r="I42" i="26"/>
  <c r="I41" i="26"/>
  <c r="I40" i="26"/>
  <c r="I39" i="26"/>
  <c r="I38" i="26"/>
  <c r="I37" i="26"/>
  <c r="I36" i="26"/>
  <c r="I35" i="26"/>
  <c r="I34" i="26"/>
  <c r="I33" i="26"/>
  <c r="I32" i="26"/>
  <c r="I31" i="26"/>
  <c r="I30" i="26"/>
  <c r="I29" i="26"/>
  <c r="I28" i="26"/>
  <c r="I27" i="26"/>
  <c r="I26" i="26"/>
  <c r="I25" i="26"/>
  <c r="I24" i="26"/>
  <c r="I23" i="26"/>
  <c r="I22" i="26"/>
  <c r="I21" i="26"/>
  <c r="I20" i="26"/>
  <c r="I19" i="26"/>
  <c r="I18" i="26"/>
  <c r="I17" i="26"/>
  <c r="I16" i="26"/>
  <c r="C1087" i="26"/>
  <c r="C1086" i="26"/>
  <c r="C1085" i="26"/>
  <c r="C1084" i="26"/>
  <c r="C1083" i="26"/>
  <c r="C1082" i="26"/>
  <c r="C1081" i="26"/>
  <c r="C1080" i="26"/>
  <c r="C1079" i="26"/>
  <c r="C1078" i="26"/>
  <c r="C1077" i="26"/>
  <c r="C1076" i="26"/>
  <c r="C1075" i="26"/>
  <c r="C1074" i="26"/>
  <c r="C1073" i="26"/>
  <c r="C1072" i="26"/>
  <c r="C1071" i="26"/>
  <c r="C1070" i="26"/>
  <c r="C1069" i="26"/>
  <c r="C1068" i="26"/>
  <c r="C1067" i="26"/>
  <c r="C1066" i="26"/>
  <c r="C1065" i="26"/>
  <c r="C1064" i="26"/>
  <c r="C1063" i="26"/>
  <c r="C1062" i="26"/>
  <c r="C1061" i="26"/>
  <c r="C1060" i="26"/>
  <c r="C1059" i="26"/>
  <c r="C1058" i="26"/>
  <c r="C1057" i="26"/>
  <c r="C1056" i="26"/>
  <c r="C1055" i="26"/>
  <c r="C1054" i="26"/>
  <c r="C1053" i="26"/>
  <c r="C1052" i="26"/>
  <c r="C1051" i="26"/>
  <c r="C1050" i="26"/>
  <c r="C1049" i="26"/>
  <c r="C1048" i="26"/>
  <c r="C1047" i="26"/>
  <c r="C1046" i="26"/>
  <c r="C1045" i="26"/>
  <c r="C1044" i="26"/>
  <c r="C1043" i="26"/>
  <c r="C1042" i="26"/>
  <c r="C1041" i="26"/>
  <c r="C1040" i="26"/>
  <c r="C1039" i="26"/>
  <c r="C1038" i="26"/>
  <c r="C1037" i="26"/>
  <c r="C1036" i="26"/>
  <c r="C1035" i="26"/>
  <c r="C1034" i="26"/>
  <c r="C1033" i="26"/>
  <c r="C1032" i="26"/>
  <c r="C1031" i="26"/>
  <c r="C1030" i="26"/>
  <c r="C1029" i="26"/>
  <c r="C1028" i="26"/>
  <c r="C1027" i="26"/>
  <c r="C1026" i="26"/>
  <c r="C1025" i="26"/>
  <c r="C1024" i="26"/>
  <c r="C1023" i="26"/>
  <c r="C1022" i="26"/>
  <c r="C1021" i="26"/>
  <c r="C1020" i="26"/>
  <c r="C1019" i="26"/>
  <c r="C1018" i="26"/>
  <c r="C1017" i="26"/>
  <c r="C1016" i="26"/>
  <c r="C1015" i="26"/>
  <c r="C1014" i="26"/>
  <c r="C1013" i="26"/>
  <c r="C1012" i="26"/>
  <c r="C1011" i="26"/>
  <c r="C1010" i="26"/>
  <c r="C1009" i="26"/>
  <c r="C1008" i="26"/>
  <c r="C1007" i="26"/>
  <c r="C1006" i="26"/>
  <c r="C1005" i="26"/>
  <c r="C1004" i="26"/>
  <c r="C1003" i="26"/>
  <c r="C1002" i="26"/>
  <c r="C1001" i="26"/>
  <c r="C1000" i="26"/>
  <c r="C999" i="26"/>
  <c r="C998" i="26"/>
  <c r="C997" i="26"/>
  <c r="C996" i="26"/>
  <c r="C995" i="26"/>
  <c r="C994" i="26"/>
  <c r="C993" i="26"/>
  <c r="C992" i="26"/>
  <c r="C991" i="26"/>
  <c r="C990" i="26"/>
  <c r="C989" i="26"/>
  <c r="C988" i="26"/>
  <c r="C987" i="26"/>
  <c r="C986" i="26"/>
  <c r="C985" i="26"/>
  <c r="C984" i="26"/>
  <c r="C983" i="26"/>
  <c r="C982" i="26"/>
  <c r="C981" i="26"/>
  <c r="C980" i="26"/>
  <c r="C979" i="26"/>
  <c r="C978" i="26"/>
  <c r="C977" i="26"/>
  <c r="C976" i="26"/>
  <c r="C975" i="26"/>
  <c r="C974" i="26"/>
  <c r="C973" i="26"/>
  <c r="C972" i="26"/>
  <c r="C971" i="26"/>
  <c r="C970" i="26"/>
  <c r="C969" i="26"/>
  <c r="C968" i="26"/>
  <c r="C967" i="26"/>
  <c r="C966" i="26"/>
  <c r="C965" i="26"/>
  <c r="C964" i="26"/>
  <c r="C963" i="26"/>
  <c r="C962" i="26"/>
  <c r="C961" i="26"/>
  <c r="C960" i="26"/>
  <c r="C959" i="26"/>
  <c r="C958" i="26"/>
  <c r="C957" i="26"/>
  <c r="C956" i="26"/>
  <c r="C955" i="26"/>
  <c r="C954" i="26"/>
  <c r="C953" i="26"/>
  <c r="C952" i="26"/>
  <c r="C951" i="26"/>
  <c r="C950" i="26"/>
  <c r="C949" i="26"/>
  <c r="C948" i="26"/>
  <c r="C947" i="26"/>
  <c r="C946" i="26"/>
  <c r="C945" i="26"/>
  <c r="C944" i="26"/>
  <c r="C943" i="26"/>
  <c r="C942" i="26"/>
  <c r="C941" i="26"/>
  <c r="C940" i="26"/>
  <c r="C939" i="26"/>
  <c r="C938" i="26"/>
  <c r="C937" i="26"/>
  <c r="C936" i="26"/>
  <c r="C935" i="26"/>
  <c r="C934" i="26"/>
  <c r="C933" i="26"/>
  <c r="C932" i="26"/>
  <c r="C931" i="26"/>
  <c r="C930" i="26"/>
  <c r="C929" i="26"/>
  <c r="C928" i="26"/>
  <c r="C927" i="26"/>
  <c r="C926" i="26"/>
  <c r="C925" i="26"/>
  <c r="C924" i="26"/>
  <c r="C923" i="26"/>
  <c r="C922" i="26"/>
  <c r="C921" i="26"/>
  <c r="C920" i="26"/>
  <c r="C919" i="26"/>
  <c r="C918" i="26"/>
  <c r="C917" i="26"/>
  <c r="C916" i="26"/>
  <c r="C915" i="26"/>
  <c r="C914" i="26"/>
  <c r="C913" i="26"/>
  <c r="C912" i="26"/>
  <c r="C911" i="26"/>
  <c r="C910" i="26"/>
  <c r="C909" i="26"/>
  <c r="C908" i="26"/>
  <c r="C907" i="26"/>
  <c r="C906" i="26"/>
  <c r="C905" i="26"/>
  <c r="C904" i="26"/>
  <c r="C903" i="26"/>
  <c r="C902" i="26"/>
  <c r="C901" i="26"/>
  <c r="C900" i="26"/>
  <c r="C899" i="26"/>
  <c r="C898" i="26"/>
  <c r="C897" i="26"/>
  <c r="C896" i="26"/>
  <c r="C895" i="26"/>
  <c r="C894" i="26"/>
  <c r="C893" i="26"/>
  <c r="C892" i="26"/>
  <c r="C891" i="26"/>
  <c r="C890" i="26"/>
  <c r="C889" i="26"/>
  <c r="C888" i="26"/>
  <c r="C887" i="26"/>
  <c r="C886" i="26"/>
  <c r="C885" i="26"/>
  <c r="C884" i="26"/>
  <c r="C883" i="26"/>
  <c r="C882" i="26"/>
  <c r="C881" i="26"/>
  <c r="C880" i="26"/>
  <c r="C879" i="26"/>
  <c r="C878" i="26"/>
  <c r="C877" i="26"/>
  <c r="C876" i="26"/>
  <c r="C875" i="26"/>
  <c r="C874" i="26"/>
  <c r="C873" i="26"/>
  <c r="C872" i="26"/>
  <c r="C871" i="26"/>
  <c r="C870" i="26"/>
  <c r="C869" i="26"/>
  <c r="C868" i="26"/>
  <c r="C867" i="26"/>
  <c r="C866" i="26"/>
  <c r="C865" i="26"/>
  <c r="C864" i="26"/>
  <c r="C863" i="26"/>
  <c r="C862" i="26"/>
  <c r="C861" i="26"/>
  <c r="C860" i="26"/>
  <c r="C859" i="26"/>
  <c r="C858" i="26"/>
  <c r="C857" i="26"/>
  <c r="C856" i="26"/>
  <c r="C855" i="26"/>
  <c r="C854" i="26"/>
  <c r="C853" i="26"/>
  <c r="C852" i="26"/>
  <c r="C851" i="26"/>
  <c r="C850" i="26"/>
  <c r="C849" i="26"/>
  <c r="C848" i="26"/>
  <c r="C847" i="26"/>
  <c r="C846" i="26"/>
  <c r="C845" i="26"/>
  <c r="C844" i="26"/>
  <c r="C843" i="26"/>
  <c r="C842" i="26"/>
  <c r="C841" i="26"/>
  <c r="C840" i="26"/>
  <c r="C839" i="26"/>
  <c r="C838" i="26"/>
  <c r="C837" i="26"/>
  <c r="C836" i="26"/>
  <c r="C835" i="26"/>
  <c r="C834" i="26"/>
  <c r="C833" i="26"/>
  <c r="C832" i="26"/>
  <c r="C831" i="26"/>
  <c r="C830" i="26"/>
  <c r="C829" i="26"/>
  <c r="C828" i="26"/>
  <c r="C827" i="26"/>
  <c r="C826" i="26"/>
  <c r="C825" i="26"/>
  <c r="C824" i="26"/>
  <c r="C823" i="26"/>
  <c r="C822" i="26"/>
  <c r="C821" i="26"/>
  <c r="C820" i="26"/>
  <c r="C819" i="26"/>
  <c r="C818" i="26"/>
  <c r="C817" i="26"/>
  <c r="C816" i="26"/>
  <c r="C815" i="26"/>
  <c r="C814" i="26"/>
  <c r="C813" i="26"/>
  <c r="C812" i="26"/>
  <c r="C811" i="26"/>
  <c r="C810" i="26"/>
  <c r="C809" i="26"/>
  <c r="C808" i="26"/>
  <c r="C807" i="26"/>
  <c r="C806" i="26"/>
  <c r="C805" i="26"/>
  <c r="C804" i="26"/>
  <c r="C803" i="26"/>
  <c r="C802" i="26"/>
  <c r="C801" i="26"/>
  <c r="C800" i="26"/>
  <c r="C799" i="26"/>
  <c r="C798" i="26"/>
  <c r="C797" i="26"/>
  <c r="C796" i="26"/>
  <c r="C795" i="26"/>
  <c r="C794" i="26"/>
  <c r="C793" i="26"/>
  <c r="C792" i="26"/>
  <c r="C791" i="26"/>
  <c r="C790" i="26"/>
  <c r="C789" i="26"/>
  <c r="C788" i="26"/>
  <c r="C787" i="26"/>
  <c r="C786" i="26"/>
  <c r="C785" i="26"/>
  <c r="C784" i="26"/>
  <c r="C783" i="26"/>
  <c r="C782" i="26"/>
  <c r="C781" i="26"/>
  <c r="C780" i="26"/>
  <c r="C779" i="26"/>
  <c r="C778" i="26"/>
  <c r="C777" i="26"/>
  <c r="C776" i="26"/>
  <c r="C775" i="26"/>
  <c r="C774" i="26"/>
  <c r="C773" i="26"/>
  <c r="C772" i="26"/>
  <c r="C771" i="26"/>
  <c r="C770" i="26"/>
  <c r="C769" i="26"/>
  <c r="C768" i="26"/>
  <c r="C767" i="26"/>
  <c r="C766" i="26"/>
  <c r="C765" i="26"/>
  <c r="C764" i="26"/>
  <c r="C763" i="26"/>
  <c r="C762" i="26"/>
  <c r="C761" i="26"/>
  <c r="C760" i="26"/>
  <c r="C759" i="26"/>
  <c r="C758" i="26"/>
  <c r="C757" i="26"/>
  <c r="C756" i="26"/>
  <c r="C755" i="26"/>
  <c r="C754" i="26"/>
  <c r="C753" i="26"/>
  <c r="C752" i="26"/>
  <c r="C751" i="26"/>
  <c r="C750" i="26"/>
  <c r="C749" i="26"/>
  <c r="C748" i="26"/>
  <c r="C747" i="26"/>
  <c r="C746" i="26"/>
  <c r="C745" i="26"/>
  <c r="C744" i="26"/>
  <c r="C743" i="26"/>
  <c r="C742" i="26"/>
  <c r="C741" i="26"/>
  <c r="C740" i="26"/>
  <c r="C739" i="26"/>
  <c r="C738" i="26"/>
  <c r="C737" i="26"/>
  <c r="C736" i="26"/>
  <c r="C735" i="26"/>
  <c r="C734" i="26"/>
  <c r="C733" i="26"/>
  <c r="C732" i="26"/>
  <c r="C731" i="26"/>
  <c r="C730" i="26"/>
  <c r="C729" i="26"/>
  <c r="C728" i="26"/>
  <c r="C727" i="26"/>
  <c r="C726" i="26"/>
  <c r="C725" i="26"/>
  <c r="C724" i="26"/>
  <c r="C723" i="26"/>
  <c r="C722" i="26"/>
  <c r="C721" i="26"/>
  <c r="C720" i="26"/>
  <c r="C719" i="26"/>
  <c r="C718" i="26"/>
  <c r="C717" i="26"/>
  <c r="C716" i="26"/>
  <c r="C715" i="26"/>
  <c r="C714" i="26"/>
  <c r="C713" i="26"/>
  <c r="C712" i="26"/>
  <c r="C711" i="26"/>
  <c r="C710" i="26"/>
  <c r="C709" i="26"/>
  <c r="C708" i="26"/>
  <c r="C707" i="26"/>
  <c r="C706" i="26"/>
  <c r="C705" i="26"/>
  <c r="C704" i="26"/>
  <c r="C703" i="26"/>
  <c r="C702" i="26"/>
  <c r="C701" i="26"/>
  <c r="C700" i="26"/>
  <c r="C699" i="26"/>
  <c r="C698" i="26"/>
  <c r="C697" i="26"/>
  <c r="C696" i="26"/>
  <c r="C695" i="26"/>
  <c r="C694" i="26"/>
  <c r="C693" i="26"/>
  <c r="C692" i="26"/>
  <c r="C691" i="26"/>
  <c r="C690" i="26"/>
  <c r="C689" i="26"/>
  <c r="C688" i="26"/>
  <c r="C687" i="26"/>
  <c r="C686" i="26"/>
  <c r="C685" i="26"/>
  <c r="C684" i="26"/>
  <c r="C683" i="26"/>
  <c r="C682" i="26"/>
  <c r="C681" i="26"/>
  <c r="C680" i="26"/>
  <c r="C679" i="26"/>
  <c r="C678" i="26"/>
  <c r="C677" i="26"/>
  <c r="C676" i="26"/>
  <c r="C675" i="26"/>
  <c r="C674" i="26"/>
  <c r="C673" i="26"/>
  <c r="C672" i="26"/>
  <c r="C671" i="26"/>
  <c r="C670" i="26"/>
  <c r="C669" i="26"/>
  <c r="C668" i="26"/>
  <c r="C667" i="26"/>
  <c r="C666" i="26"/>
  <c r="C665" i="26"/>
  <c r="C664" i="26"/>
  <c r="C663" i="26"/>
  <c r="C662" i="26"/>
  <c r="C661" i="26"/>
  <c r="C660" i="26"/>
  <c r="C659" i="26"/>
  <c r="C658" i="26"/>
  <c r="C657" i="26"/>
  <c r="C656" i="26"/>
  <c r="C655" i="26"/>
  <c r="C654" i="26"/>
  <c r="C653" i="26"/>
  <c r="C652" i="26"/>
  <c r="C651" i="26"/>
  <c r="C650" i="26"/>
  <c r="C649" i="26"/>
  <c r="C648" i="26"/>
  <c r="C647" i="26"/>
  <c r="C646" i="26"/>
  <c r="C645" i="26"/>
  <c r="C644" i="26"/>
  <c r="C643" i="26"/>
  <c r="C642" i="26"/>
  <c r="C641" i="26"/>
  <c r="C640" i="26"/>
  <c r="C639" i="26"/>
  <c r="C638" i="26"/>
  <c r="C637" i="26"/>
  <c r="C636" i="26"/>
  <c r="C635" i="26"/>
  <c r="C634" i="26"/>
  <c r="C633" i="26"/>
  <c r="C632" i="26"/>
  <c r="C631" i="26"/>
  <c r="C630" i="26"/>
  <c r="C629" i="26"/>
  <c r="C628" i="26"/>
  <c r="C627" i="26"/>
  <c r="C626" i="26"/>
  <c r="C625" i="26"/>
  <c r="C624" i="26"/>
  <c r="C623" i="26"/>
  <c r="C622" i="26"/>
  <c r="C621" i="26"/>
  <c r="C620" i="26"/>
  <c r="C619" i="26"/>
  <c r="C618" i="26"/>
  <c r="C617" i="26"/>
  <c r="C616" i="26"/>
  <c r="C615" i="26"/>
  <c r="C614" i="26"/>
  <c r="C613" i="26"/>
  <c r="C612" i="26"/>
  <c r="C611" i="26"/>
  <c r="C610" i="26"/>
  <c r="C609" i="26"/>
  <c r="C608" i="26"/>
  <c r="C607" i="26"/>
  <c r="C606" i="26"/>
  <c r="C605" i="26"/>
  <c r="C604" i="26"/>
  <c r="C603" i="26"/>
  <c r="C602" i="26"/>
  <c r="C601" i="26"/>
  <c r="C600" i="26"/>
  <c r="C599" i="26"/>
  <c r="C598" i="26"/>
  <c r="C597" i="26"/>
  <c r="C596" i="26"/>
  <c r="C595" i="26"/>
  <c r="C594" i="26"/>
  <c r="C593" i="26"/>
  <c r="C592" i="26"/>
  <c r="C591" i="26"/>
  <c r="C590" i="26"/>
  <c r="C589" i="26"/>
  <c r="C588" i="26"/>
  <c r="C587" i="26"/>
  <c r="C586" i="26"/>
  <c r="C585" i="26"/>
  <c r="C584" i="26"/>
  <c r="C583" i="26"/>
  <c r="C582" i="26"/>
  <c r="C581" i="26"/>
  <c r="C580" i="26"/>
  <c r="C579" i="26"/>
  <c r="C578" i="26"/>
  <c r="C577" i="26"/>
  <c r="C576" i="26"/>
  <c r="C575" i="26"/>
  <c r="C574" i="26"/>
  <c r="C573" i="26"/>
  <c r="C572" i="26"/>
  <c r="C571" i="26"/>
  <c r="C570" i="26"/>
  <c r="C569" i="26"/>
  <c r="C568" i="26"/>
  <c r="C567" i="26"/>
  <c r="C566" i="26"/>
  <c r="C565" i="26"/>
  <c r="C564" i="26"/>
  <c r="C563" i="26"/>
  <c r="C562" i="26"/>
  <c r="C561" i="26"/>
  <c r="C560" i="26"/>
  <c r="C559" i="26"/>
  <c r="C558" i="26"/>
  <c r="C557" i="26"/>
  <c r="C556" i="26"/>
  <c r="C555" i="26"/>
  <c r="C554" i="26"/>
  <c r="C553" i="26"/>
  <c r="C552" i="26"/>
  <c r="C551" i="26"/>
  <c r="C550" i="26"/>
  <c r="C549" i="26"/>
  <c r="C548" i="26"/>
  <c r="C547" i="26"/>
  <c r="C546" i="26"/>
  <c r="C545" i="26"/>
  <c r="C544" i="26"/>
  <c r="C543" i="26"/>
  <c r="C542" i="26"/>
  <c r="C541" i="26"/>
  <c r="C540" i="26"/>
  <c r="C539" i="26"/>
  <c r="C538" i="26"/>
  <c r="C537" i="26"/>
  <c r="C536" i="26"/>
  <c r="C535" i="26"/>
  <c r="C534" i="26"/>
  <c r="C533" i="26"/>
  <c r="C532" i="26"/>
  <c r="C531" i="26"/>
  <c r="C530" i="26"/>
  <c r="C529" i="26"/>
  <c r="C528" i="26"/>
  <c r="C527" i="26"/>
  <c r="C526" i="26"/>
  <c r="C525" i="26"/>
  <c r="C524" i="26"/>
  <c r="C523" i="26"/>
  <c r="C522" i="26"/>
  <c r="C521" i="26"/>
  <c r="C520" i="26"/>
  <c r="C519" i="26"/>
  <c r="C518" i="26"/>
  <c r="C517" i="26"/>
  <c r="C516" i="26"/>
  <c r="C515" i="26"/>
  <c r="C514" i="26"/>
  <c r="C513" i="26"/>
  <c r="C512" i="26"/>
  <c r="C511" i="26"/>
  <c r="C510" i="26"/>
  <c r="C509" i="26"/>
  <c r="C508" i="26"/>
  <c r="C507" i="26"/>
  <c r="C506" i="26"/>
  <c r="C505" i="26"/>
  <c r="C504" i="26"/>
  <c r="C503" i="26"/>
  <c r="C502" i="26"/>
  <c r="C501" i="26"/>
  <c r="C500" i="26"/>
  <c r="C499" i="26"/>
  <c r="C498" i="26"/>
  <c r="C497" i="26"/>
  <c r="C496" i="26"/>
  <c r="C495" i="26"/>
  <c r="C494" i="26"/>
  <c r="C493" i="26"/>
  <c r="C492" i="26"/>
  <c r="C491" i="26"/>
  <c r="C490" i="26"/>
  <c r="C489" i="26"/>
  <c r="C488" i="26"/>
  <c r="C487" i="26"/>
  <c r="C486" i="26"/>
  <c r="C485" i="26"/>
  <c r="C484" i="26"/>
  <c r="C483" i="26"/>
  <c r="C482" i="26"/>
  <c r="C481" i="26"/>
  <c r="C480" i="26"/>
  <c r="C479" i="26"/>
  <c r="C478" i="26"/>
  <c r="C477" i="26"/>
  <c r="C476" i="26"/>
  <c r="C475" i="26"/>
  <c r="C474" i="26"/>
  <c r="C473" i="26"/>
  <c r="C472" i="26"/>
  <c r="C471" i="26"/>
  <c r="C470" i="26"/>
  <c r="C469" i="26"/>
  <c r="C468" i="26"/>
  <c r="C467" i="26"/>
  <c r="C466" i="26"/>
  <c r="C465" i="26"/>
  <c r="C464" i="26"/>
  <c r="C463" i="26"/>
  <c r="C462" i="26"/>
  <c r="C461" i="26"/>
  <c r="C460" i="26"/>
  <c r="C459" i="26"/>
  <c r="C458" i="26"/>
  <c r="C457" i="26"/>
  <c r="C456" i="26"/>
  <c r="C455" i="26"/>
  <c r="C454" i="26"/>
  <c r="C453" i="26"/>
  <c r="C452" i="26"/>
  <c r="C451" i="26"/>
  <c r="C450" i="26"/>
  <c r="C449" i="26"/>
  <c r="C448" i="26"/>
  <c r="C447" i="26"/>
  <c r="C446" i="26"/>
  <c r="C445" i="26"/>
  <c r="C444" i="26"/>
  <c r="C443" i="26"/>
  <c r="C442" i="26"/>
  <c r="C441" i="26"/>
  <c r="C440" i="26"/>
  <c r="C439" i="26"/>
  <c r="C438" i="26"/>
  <c r="C437" i="26"/>
  <c r="C436" i="26"/>
  <c r="C435" i="26"/>
  <c r="C434" i="26"/>
  <c r="C433" i="26"/>
  <c r="C432" i="26"/>
  <c r="C431" i="26"/>
  <c r="C430" i="26"/>
  <c r="C429" i="26"/>
  <c r="C428" i="26"/>
  <c r="C427" i="26"/>
  <c r="C426" i="26"/>
  <c r="C425" i="26"/>
  <c r="C424" i="26"/>
  <c r="C423" i="26"/>
  <c r="C422" i="26"/>
  <c r="C421" i="26"/>
  <c r="C420" i="26"/>
  <c r="C419" i="26"/>
  <c r="C418" i="26"/>
  <c r="C417" i="26"/>
  <c r="C416" i="26"/>
  <c r="C415" i="26"/>
  <c r="C414" i="26"/>
  <c r="C413" i="26"/>
  <c r="C412" i="26"/>
  <c r="C411" i="26"/>
  <c r="C410" i="26"/>
  <c r="C409" i="26"/>
  <c r="C408" i="26"/>
  <c r="C407" i="26"/>
  <c r="C406" i="26"/>
  <c r="C405" i="26"/>
  <c r="C404" i="26"/>
  <c r="C403" i="26"/>
  <c r="C402" i="26"/>
  <c r="C401" i="26"/>
  <c r="C400" i="26"/>
  <c r="C399" i="26"/>
  <c r="C398" i="26"/>
  <c r="C397" i="26"/>
  <c r="C396" i="26"/>
  <c r="C395" i="26"/>
  <c r="C394" i="26"/>
  <c r="C393" i="26"/>
  <c r="C392" i="26"/>
  <c r="C391" i="26"/>
  <c r="C390" i="26"/>
  <c r="C389" i="26"/>
  <c r="C388" i="26"/>
  <c r="C387" i="26"/>
  <c r="C386" i="26"/>
  <c r="C385" i="26"/>
  <c r="C384" i="26"/>
  <c r="C383" i="26"/>
  <c r="C382" i="26"/>
  <c r="C381" i="26"/>
  <c r="C380" i="26"/>
  <c r="C379" i="26"/>
  <c r="C378" i="26"/>
  <c r="C377" i="26"/>
  <c r="C376" i="26"/>
  <c r="C375" i="26"/>
  <c r="C374" i="26"/>
  <c r="C373" i="26"/>
  <c r="C372" i="26"/>
  <c r="C371" i="26"/>
  <c r="C370" i="26"/>
  <c r="C369" i="26"/>
  <c r="C368" i="26"/>
  <c r="C367" i="26"/>
  <c r="C366" i="26"/>
  <c r="C365" i="26"/>
  <c r="C364" i="26"/>
  <c r="C363" i="26"/>
  <c r="C362" i="26"/>
  <c r="C361" i="26"/>
  <c r="C360" i="26"/>
  <c r="C359" i="26"/>
  <c r="C358" i="26"/>
  <c r="C357" i="26"/>
  <c r="C356" i="26"/>
  <c r="C355" i="26"/>
  <c r="C354" i="26"/>
  <c r="C353" i="26"/>
  <c r="C352" i="26"/>
  <c r="C351" i="26"/>
  <c r="C350" i="26"/>
  <c r="C349" i="26"/>
  <c r="C348" i="26"/>
  <c r="C347" i="26"/>
  <c r="C346" i="26"/>
  <c r="C345" i="26"/>
  <c r="C344" i="26"/>
  <c r="C343" i="26"/>
  <c r="C342" i="26"/>
  <c r="C341" i="26"/>
  <c r="C340" i="26"/>
  <c r="C339" i="26"/>
  <c r="C338" i="26"/>
  <c r="C337" i="26"/>
  <c r="C336" i="26"/>
  <c r="C335" i="26"/>
  <c r="C334" i="26"/>
  <c r="C333" i="26"/>
  <c r="C332" i="26"/>
  <c r="C331" i="26"/>
  <c r="C330" i="26"/>
  <c r="C329" i="26"/>
  <c r="C328" i="26"/>
  <c r="C327" i="26"/>
  <c r="C326" i="26"/>
  <c r="C325" i="26"/>
  <c r="C324" i="26"/>
  <c r="C323" i="26"/>
  <c r="C322" i="26"/>
  <c r="C321" i="26"/>
  <c r="C320" i="26"/>
  <c r="C319" i="26"/>
  <c r="C318" i="26"/>
  <c r="C317" i="26"/>
  <c r="C316" i="26"/>
  <c r="C315" i="26"/>
  <c r="C314" i="26"/>
  <c r="C313" i="26"/>
  <c r="C312" i="26"/>
  <c r="C311" i="26"/>
  <c r="C310" i="26"/>
  <c r="C309" i="26"/>
  <c r="C308" i="26"/>
  <c r="C307" i="26"/>
  <c r="C306" i="26"/>
  <c r="C305" i="26"/>
  <c r="C304" i="26"/>
  <c r="C303" i="26"/>
  <c r="C302" i="26"/>
  <c r="C301" i="26"/>
  <c r="C300" i="26"/>
  <c r="C299" i="26"/>
  <c r="C298" i="26"/>
  <c r="C297" i="26"/>
  <c r="C296" i="26"/>
  <c r="C295" i="26"/>
  <c r="C294" i="26"/>
  <c r="C293" i="26"/>
  <c r="C292" i="26"/>
  <c r="C291" i="26"/>
  <c r="C290" i="26"/>
  <c r="C289" i="26"/>
  <c r="C288" i="26"/>
  <c r="C287" i="26"/>
  <c r="C286" i="26"/>
  <c r="C285" i="26"/>
  <c r="C284" i="26"/>
  <c r="C283" i="26"/>
  <c r="C282" i="26"/>
  <c r="C281" i="26"/>
  <c r="C280" i="26"/>
  <c r="C279" i="26"/>
  <c r="C278" i="26"/>
  <c r="C277" i="26"/>
  <c r="C276" i="26"/>
  <c r="C275" i="26"/>
  <c r="C274" i="26"/>
  <c r="C273" i="26"/>
  <c r="C272" i="26"/>
  <c r="C271" i="26"/>
  <c r="C270" i="26"/>
  <c r="C269" i="26"/>
  <c r="C268" i="26"/>
  <c r="C267" i="26"/>
  <c r="C266" i="26"/>
  <c r="C265" i="26"/>
  <c r="C264" i="26"/>
  <c r="C263" i="26"/>
  <c r="C262" i="26"/>
  <c r="C261" i="26"/>
  <c r="C260" i="26"/>
  <c r="C259" i="26"/>
  <c r="C258" i="26"/>
  <c r="C257" i="26"/>
  <c r="C256" i="26"/>
  <c r="C255" i="26"/>
  <c r="C254" i="26"/>
  <c r="C253" i="26"/>
  <c r="C252" i="26"/>
  <c r="C251" i="26"/>
  <c r="C250" i="26"/>
  <c r="C249" i="26"/>
  <c r="C248" i="26"/>
  <c r="C247" i="26"/>
  <c r="C246" i="26"/>
  <c r="C245" i="26"/>
  <c r="C244" i="26"/>
  <c r="C243" i="26"/>
  <c r="C242" i="26"/>
  <c r="C241" i="26"/>
  <c r="C240" i="26"/>
  <c r="C239" i="26"/>
  <c r="C238" i="26"/>
  <c r="C237" i="26"/>
  <c r="C236" i="26"/>
  <c r="C235" i="26"/>
  <c r="C234" i="26"/>
  <c r="C233" i="26"/>
  <c r="C232" i="26"/>
  <c r="C231" i="26"/>
  <c r="C230" i="26"/>
  <c r="C229" i="26"/>
  <c r="C228" i="26"/>
  <c r="C227" i="26"/>
  <c r="C226" i="26"/>
  <c r="C225" i="26"/>
  <c r="C224" i="26"/>
  <c r="C223" i="26"/>
  <c r="C222" i="26"/>
  <c r="C221" i="26"/>
  <c r="C220" i="26"/>
  <c r="C219" i="26"/>
  <c r="C218" i="26"/>
  <c r="C217" i="26"/>
  <c r="C216" i="26"/>
  <c r="C215" i="26"/>
  <c r="C214" i="26"/>
  <c r="C213" i="26"/>
  <c r="C212" i="26"/>
  <c r="C211" i="26"/>
  <c r="C210" i="26"/>
  <c r="C209" i="26"/>
  <c r="C208" i="26"/>
  <c r="C207" i="26"/>
  <c r="C206" i="26"/>
  <c r="C205" i="26"/>
  <c r="C204" i="26"/>
  <c r="C203" i="26"/>
  <c r="C202" i="26"/>
  <c r="C201" i="26"/>
  <c r="C200" i="26"/>
  <c r="C199" i="26"/>
  <c r="C198" i="26"/>
  <c r="C197" i="26"/>
  <c r="C196" i="26"/>
  <c r="C195" i="26"/>
  <c r="C194" i="26"/>
  <c r="C193" i="26"/>
  <c r="C192" i="26"/>
  <c r="C191" i="26"/>
  <c r="C190" i="26"/>
  <c r="C189" i="26"/>
  <c r="C188" i="26"/>
  <c r="C187" i="26"/>
  <c r="C186" i="26"/>
  <c r="C185" i="26"/>
  <c r="C184" i="26"/>
  <c r="C183" i="26"/>
  <c r="C182" i="26"/>
  <c r="C181" i="26"/>
  <c r="C180" i="26"/>
  <c r="C179" i="26"/>
  <c r="C178" i="26"/>
  <c r="C177" i="26"/>
  <c r="C176" i="26"/>
  <c r="C175" i="26"/>
  <c r="C174" i="26"/>
  <c r="C173" i="26"/>
  <c r="C172" i="26"/>
  <c r="C171" i="26"/>
  <c r="C170" i="26"/>
  <c r="C169" i="26"/>
  <c r="C168" i="26"/>
  <c r="C167" i="26"/>
  <c r="C166" i="26"/>
  <c r="C165" i="26"/>
  <c r="C164" i="26"/>
  <c r="C163" i="26"/>
  <c r="C162" i="26"/>
  <c r="C161" i="26"/>
  <c r="C160" i="26"/>
  <c r="C159" i="26"/>
  <c r="C158" i="26"/>
  <c r="C157" i="26"/>
  <c r="C156" i="26"/>
  <c r="C155" i="26"/>
  <c r="C154" i="26"/>
  <c r="C153" i="26"/>
  <c r="C152" i="26"/>
  <c r="C151" i="26"/>
  <c r="C150" i="26"/>
  <c r="C149" i="26"/>
  <c r="C148" i="26"/>
  <c r="C147" i="26"/>
  <c r="C146" i="26"/>
  <c r="C145" i="26"/>
  <c r="C144" i="26"/>
  <c r="C143" i="26"/>
  <c r="C142" i="26"/>
  <c r="C141" i="26"/>
  <c r="C140" i="26"/>
  <c r="C139" i="26"/>
  <c r="C138" i="26"/>
  <c r="C137" i="26"/>
  <c r="C136" i="26"/>
  <c r="C135" i="26"/>
  <c r="C134" i="26"/>
  <c r="C133" i="26"/>
  <c r="C132" i="26"/>
  <c r="C131" i="26"/>
  <c r="C130" i="26"/>
  <c r="C129" i="26"/>
  <c r="C128" i="26"/>
  <c r="C127" i="26"/>
  <c r="C126" i="26"/>
  <c r="C125" i="26"/>
  <c r="C124" i="26"/>
  <c r="C123" i="26"/>
  <c r="C122" i="26"/>
  <c r="C121" i="26"/>
  <c r="C120" i="26"/>
  <c r="C119" i="26"/>
  <c r="C118" i="26"/>
  <c r="C117" i="26"/>
  <c r="C116" i="26"/>
  <c r="C115" i="26"/>
  <c r="C114" i="26"/>
  <c r="C113" i="26"/>
  <c r="C112" i="26"/>
  <c r="C111" i="26"/>
  <c r="C110" i="26"/>
  <c r="C109" i="26"/>
  <c r="C108" i="26"/>
  <c r="C107" i="26"/>
  <c r="C106" i="26"/>
  <c r="C105" i="26"/>
  <c r="C104" i="26"/>
  <c r="C103" i="26"/>
  <c r="C102" i="26"/>
  <c r="C101" i="26"/>
  <c r="C100" i="26"/>
  <c r="C99" i="26"/>
  <c r="C98" i="26"/>
  <c r="C97" i="26"/>
  <c r="C96" i="26"/>
  <c r="C95" i="26"/>
  <c r="C94" i="26"/>
  <c r="C93" i="26"/>
  <c r="C92" i="26"/>
  <c r="C91" i="26"/>
  <c r="C90" i="26"/>
  <c r="C89" i="26"/>
  <c r="C88" i="26"/>
  <c r="C87" i="26"/>
  <c r="C86" i="26"/>
  <c r="C85" i="26"/>
  <c r="C84" i="26"/>
  <c r="C83" i="26"/>
  <c r="C82" i="26"/>
  <c r="C81" i="26"/>
  <c r="C80" i="26"/>
  <c r="C79" i="26"/>
  <c r="C78" i="26"/>
  <c r="C77" i="26"/>
  <c r="C76" i="26"/>
  <c r="C75" i="26"/>
  <c r="C74" i="26"/>
  <c r="C73" i="26"/>
  <c r="C72" i="26"/>
  <c r="C71" i="26"/>
  <c r="C70" i="26"/>
  <c r="C69" i="26"/>
  <c r="C68" i="26"/>
  <c r="C67" i="26"/>
  <c r="C66" i="26"/>
  <c r="C65" i="26"/>
  <c r="C64" i="26"/>
  <c r="C63" i="26"/>
  <c r="C62" i="26"/>
  <c r="C61" i="26"/>
  <c r="C60" i="26"/>
  <c r="C59" i="26"/>
  <c r="C58" i="26"/>
  <c r="C57" i="26"/>
  <c r="C56" i="26"/>
  <c r="C55" i="26"/>
  <c r="C54" i="26"/>
  <c r="C53" i="26"/>
  <c r="C52" i="26"/>
  <c r="C51" i="26"/>
  <c r="C50" i="26"/>
  <c r="C49" i="26"/>
  <c r="C48" i="26"/>
  <c r="C47" i="26"/>
  <c r="C46" i="26"/>
  <c r="C45" i="26"/>
  <c r="C44" i="26"/>
  <c r="C43" i="26"/>
  <c r="C42" i="26"/>
  <c r="C41" i="26"/>
  <c r="C40" i="26"/>
  <c r="C39" i="26"/>
  <c r="C38" i="26"/>
  <c r="C37" i="26"/>
  <c r="C36" i="26"/>
  <c r="C35" i="26"/>
  <c r="C34" i="26"/>
  <c r="C33" i="26"/>
  <c r="C32" i="26"/>
  <c r="C31" i="26"/>
  <c r="C30" i="26"/>
  <c r="C29" i="26"/>
  <c r="C28" i="26"/>
  <c r="C27" i="26"/>
  <c r="C26" i="26"/>
  <c r="C25" i="26"/>
  <c r="C24" i="26"/>
  <c r="C23" i="26"/>
  <c r="C22" i="26"/>
  <c r="C21" i="26"/>
  <c r="C20" i="26"/>
  <c r="C19" i="26"/>
  <c r="C18" i="26"/>
  <c r="C17" i="26"/>
  <c r="C16" i="26"/>
  <c r="B6" i="26" l="1"/>
  <c r="B2" i="26"/>
  <c r="C192" i="10"/>
  <c r="B193" i="10"/>
  <c r="B192" i="10"/>
  <c r="D193" i="10"/>
  <c r="D192" i="10"/>
  <c r="B57" i="10"/>
  <c r="C193" i="10"/>
  <c r="I103" i="3"/>
  <c r="D103" i="3"/>
  <c r="B103" i="3"/>
  <c r="A103" i="3"/>
  <c r="B103" i="24"/>
  <c r="F103" i="23" s="1"/>
  <c r="A110" i="1"/>
  <c r="B103" i="23"/>
  <c r="C137" i="2"/>
  <c r="C134" i="2"/>
  <c r="C81" i="2"/>
  <c r="C75" i="2"/>
  <c r="C61" i="2"/>
  <c r="C39" i="2"/>
  <c r="C4" i="2"/>
  <c r="C103" i="19"/>
  <c r="B103" i="19"/>
  <c r="A103" i="2"/>
  <c r="C103" i="2"/>
  <c r="F75" i="19"/>
  <c r="F61" i="19"/>
  <c r="I33" i="10" l="1"/>
  <c r="H103" i="3"/>
  <c r="B110" i="1"/>
  <c r="L33" i="10" l="1"/>
  <c r="K33" i="10"/>
  <c r="M33" i="10"/>
  <c r="J33" i="10"/>
  <c r="C158" i="2"/>
  <c r="C157" i="2"/>
  <c r="C156" i="2"/>
  <c r="C155" i="2"/>
  <c r="C154" i="2"/>
  <c r="C152" i="2"/>
  <c r="C151" i="2"/>
  <c r="C150" i="2"/>
  <c r="C149" i="2"/>
  <c r="C148" i="2"/>
  <c r="C147" i="2"/>
  <c r="C146" i="2"/>
  <c r="C145" i="2"/>
  <c r="C144" i="2"/>
  <c r="C143" i="2"/>
  <c r="C142" i="2"/>
  <c r="C141" i="2"/>
  <c r="C140" i="2"/>
  <c r="C139" i="2"/>
  <c r="C138" i="2"/>
  <c r="C136" i="2"/>
  <c r="C135"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2" i="2"/>
  <c r="C101" i="2"/>
  <c r="C100" i="2"/>
  <c r="C99" i="2"/>
  <c r="C98" i="2"/>
  <c r="C97" i="2"/>
  <c r="C96" i="2"/>
  <c r="C95" i="2"/>
  <c r="C94" i="2"/>
  <c r="C93" i="2"/>
  <c r="C92" i="2"/>
  <c r="C91" i="2"/>
  <c r="C90" i="2"/>
  <c r="C89" i="2"/>
  <c r="C88" i="2"/>
  <c r="C87" i="2"/>
  <c r="C86" i="2"/>
  <c r="C85" i="2"/>
  <c r="C84" i="2"/>
  <c r="C83" i="2"/>
  <c r="C82" i="2"/>
  <c r="C80" i="2"/>
  <c r="C79" i="2"/>
  <c r="C78" i="2"/>
  <c r="C77" i="2"/>
  <c r="C76" i="2"/>
  <c r="C74" i="2"/>
  <c r="C73" i="2"/>
  <c r="C72" i="2"/>
  <c r="C71" i="2"/>
  <c r="C70" i="2"/>
  <c r="C69" i="2"/>
  <c r="C68" i="2"/>
  <c r="C67" i="2"/>
  <c r="C66" i="2"/>
  <c r="C65" i="2"/>
  <c r="C64" i="2"/>
  <c r="C63" i="2"/>
  <c r="C62" i="2"/>
  <c r="C60" i="2"/>
  <c r="C59" i="2"/>
  <c r="C58" i="2"/>
  <c r="C57" i="2"/>
  <c r="C56" i="2"/>
  <c r="C55" i="2"/>
  <c r="C54" i="2"/>
  <c r="C53" i="2"/>
  <c r="C52" i="2"/>
  <c r="C51" i="2"/>
  <c r="C50" i="2"/>
  <c r="C49" i="2"/>
  <c r="C48" i="2"/>
  <c r="C47" i="2"/>
  <c r="C46" i="2"/>
  <c r="C45" i="2"/>
  <c r="C44" i="2"/>
  <c r="C43" i="2"/>
  <c r="C42" i="2"/>
  <c r="C41" i="2"/>
  <c r="C40"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 r="C3" i="2"/>
  <c r="C2" i="2"/>
  <c r="F2" i="19"/>
  <c r="F3" i="19"/>
  <c r="F4" i="19"/>
  <c r="F5" i="19"/>
  <c r="F6" i="19"/>
  <c r="F7" i="19"/>
  <c r="F8" i="19"/>
  <c r="F9" i="19"/>
  <c r="F10" i="19"/>
  <c r="F11" i="19"/>
  <c r="F12" i="19"/>
  <c r="F13" i="19"/>
  <c r="F14" i="19"/>
  <c r="F15" i="19"/>
  <c r="F16" i="19"/>
  <c r="F17" i="19"/>
  <c r="F18" i="19"/>
  <c r="F19" i="19"/>
  <c r="F20" i="19"/>
  <c r="F21" i="19"/>
  <c r="F22" i="19"/>
  <c r="F23" i="19"/>
  <c r="F24" i="19"/>
  <c r="F25" i="19"/>
  <c r="F27" i="19"/>
  <c r="F28" i="19"/>
  <c r="F29" i="19"/>
  <c r="F31" i="19"/>
  <c r="F32" i="19"/>
  <c r="F33" i="19"/>
  <c r="F34" i="19"/>
  <c r="F38" i="19"/>
  <c r="F39" i="19"/>
  <c r="F40" i="19"/>
  <c r="F43" i="19"/>
  <c r="F44" i="19"/>
  <c r="F45" i="19"/>
  <c r="F46" i="19"/>
  <c r="F48" i="19"/>
  <c r="F49" i="19"/>
  <c r="F50" i="19"/>
  <c r="F51" i="19"/>
  <c r="F52" i="19"/>
  <c r="F53" i="19"/>
  <c r="F54" i="19"/>
  <c r="F55" i="19"/>
  <c r="F56" i="19"/>
  <c r="F57" i="19"/>
  <c r="F58" i="19"/>
  <c r="F59" i="19"/>
  <c r="F60" i="19"/>
  <c r="F62" i="19"/>
  <c r="F64" i="19"/>
  <c r="F65" i="19"/>
  <c r="F66" i="19"/>
  <c r="F67" i="19"/>
  <c r="F68" i="19"/>
  <c r="F69" i="19"/>
  <c r="F70" i="19"/>
  <c r="F71" i="19"/>
  <c r="F72" i="19"/>
  <c r="F73" i="19"/>
  <c r="F74" i="19"/>
  <c r="F76" i="19"/>
  <c r="F77" i="19"/>
  <c r="F78" i="19"/>
  <c r="F79" i="19"/>
  <c r="F80" i="19"/>
  <c r="F81" i="19"/>
  <c r="F82" i="19"/>
  <c r="F83" i="19"/>
  <c r="F84" i="19"/>
  <c r="F86" i="19"/>
  <c r="F87" i="19"/>
  <c r="F90" i="19"/>
  <c r="F91" i="19"/>
  <c r="F92" i="19"/>
  <c r="F93" i="19"/>
  <c r="F94" i="19"/>
  <c r="F95" i="19"/>
  <c r="F96" i="19"/>
  <c r="F97" i="19"/>
  <c r="F100" i="19"/>
  <c r="F101" i="19"/>
  <c r="F102" i="19"/>
  <c r="F104" i="19"/>
  <c r="F105" i="19"/>
  <c r="F106" i="19"/>
  <c r="F107" i="19"/>
  <c r="F108" i="19"/>
  <c r="F109" i="19"/>
  <c r="F110" i="19"/>
  <c r="F111" i="19"/>
  <c r="F113" i="19"/>
  <c r="F114" i="19"/>
  <c r="F115" i="19"/>
  <c r="F116" i="19"/>
  <c r="F117" i="19"/>
  <c r="F118" i="19"/>
  <c r="F119" i="19"/>
  <c r="F121" i="19"/>
  <c r="F123" i="19"/>
  <c r="F124" i="19"/>
  <c r="F125" i="19"/>
  <c r="F126" i="19"/>
  <c r="F127" i="19"/>
  <c r="F128" i="19"/>
  <c r="F129" i="19"/>
  <c r="F130" i="19"/>
  <c r="F131" i="19"/>
  <c r="F132" i="19"/>
  <c r="F133" i="19"/>
  <c r="F135" i="19"/>
  <c r="F136" i="19"/>
  <c r="F137" i="19"/>
  <c r="F138" i="19"/>
  <c r="F139" i="19"/>
  <c r="F140" i="19"/>
  <c r="F142" i="19"/>
  <c r="F143" i="19"/>
  <c r="F144" i="19"/>
  <c r="F145" i="19"/>
  <c r="F146" i="19"/>
  <c r="F147" i="19"/>
  <c r="F150" i="19"/>
  <c r="F152" i="19"/>
  <c r="F153" i="19"/>
  <c r="F155" i="19"/>
  <c r="K180" i="9" l="1"/>
  <c r="K179" i="9"/>
  <c r="K178" i="9"/>
  <c r="K177" i="9"/>
  <c r="K176" i="9"/>
  <c r="K175" i="9"/>
  <c r="K174" i="9"/>
  <c r="K173" i="9"/>
  <c r="K172" i="9"/>
  <c r="K171" i="9"/>
  <c r="K170" i="9"/>
  <c r="K168" i="9"/>
  <c r="K167" i="9"/>
  <c r="K166" i="9"/>
  <c r="K165" i="9"/>
  <c r="K164" i="9"/>
  <c r="K161" i="9"/>
  <c r="K158" i="9"/>
  <c r="K155" i="9"/>
  <c r="K154" i="9"/>
  <c r="K153" i="9"/>
  <c r="K152" i="9"/>
  <c r="K151" i="9"/>
  <c r="K150" i="9"/>
  <c r="K149" i="9"/>
  <c r="K148" i="9"/>
  <c r="K147" i="9"/>
  <c r="K146" i="9"/>
  <c r="K145" i="9"/>
  <c r="K144" i="9"/>
  <c r="K143" i="9"/>
  <c r="K142" i="9"/>
  <c r="K141" i="9"/>
  <c r="K140" i="9"/>
  <c r="K139" i="9"/>
  <c r="K138" i="9"/>
  <c r="K137" i="9"/>
  <c r="K136" i="9"/>
  <c r="K133" i="9"/>
  <c r="K132" i="9"/>
  <c r="K131" i="9"/>
  <c r="K130" i="9"/>
  <c r="K129" i="9"/>
  <c r="K128" i="9"/>
  <c r="K127" i="9"/>
  <c r="K125" i="9"/>
  <c r="K124" i="9"/>
  <c r="K123" i="9"/>
  <c r="K122" i="9"/>
  <c r="K121" i="9"/>
  <c r="K120" i="9"/>
  <c r="K118" i="9"/>
  <c r="K117" i="9"/>
  <c r="K116" i="9"/>
  <c r="K115" i="9"/>
  <c r="K114" i="9"/>
  <c r="K113" i="9"/>
  <c r="K112" i="9"/>
  <c r="K111" i="9"/>
  <c r="K110" i="9"/>
  <c r="K109" i="9"/>
  <c r="K108" i="9"/>
  <c r="K107" i="9"/>
  <c r="K106" i="9"/>
  <c r="K105" i="9"/>
  <c r="K104" i="9"/>
  <c r="K103" i="9"/>
  <c r="K102" i="9"/>
  <c r="K101" i="9"/>
  <c r="K100" i="9"/>
  <c r="K98" i="9"/>
  <c r="K97" i="9"/>
  <c r="K96" i="9"/>
  <c r="K95" i="9"/>
  <c r="K94" i="9"/>
  <c r="K93" i="9"/>
  <c r="K92" i="9"/>
  <c r="K91" i="9"/>
  <c r="K90" i="9"/>
  <c r="K89" i="9"/>
  <c r="K88" i="9"/>
  <c r="K87" i="9"/>
  <c r="K86" i="9"/>
  <c r="K85" i="9"/>
  <c r="K84" i="9"/>
  <c r="K83" i="9"/>
  <c r="K82" i="9"/>
  <c r="K81" i="9"/>
  <c r="K80" i="9"/>
  <c r="K79" i="9"/>
  <c r="K78" i="9"/>
  <c r="K77" i="9"/>
  <c r="K76" i="9"/>
  <c r="K74" i="9"/>
  <c r="K73" i="9"/>
  <c r="K72" i="9"/>
  <c r="K71" i="9"/>
  <c r="K70" i="9"/>
  <c r="K69" i="9"/>
  <c r="K68" i="9"/>
  <c r="K67" i="9"/>
  <c r="K66" i="9"/>
  <c r="K65" i="9"/>
  <c r="K64" i="9"/>
  <c r="K63" i="9"/>
  <c r="K62" i="9"/>
  <c r="K60" i="9"/>
  <c r="K59" i="9"/>
  <c r="K58" i="9"/>
  <c r="K57" i="9"/>
  <c r="K56" i="9"/>
  <c r="K55" i="9"/>
  <c r="K54" i="9"/>
  <c r="K53" i="9"/>
  <c r="K52" i="9"/>
  <c r="K51" i="9"/>
  <c r="K50" i="9"/>
  <c r="K49" i="9"/>
  <c r="K48" i="9"/>
  <c r="K47" i="9"/>
  <c r="K46" i="9"/>
  <c r="K45" i="9"/>
  <c r="K44" i="9"/>
  <c r="K43" i="9"/>
  <c r="K42" i="9"/>
  <c r="K41" i="9"/>
  <c r="K40" i="9"/>
  <c r="K38" i="9"/>
  <c r="K35" i="9"/>
  <c r="K34" i="9"/>
  <c r="K33" i="9"/>
  <c r="K32" i="9"/>
  <c r="K31" i="9"/>
  <c r="K29" i="9"/>
  <c r="K28" i="9"/>
  <c r="K27" i="9"/>
  <c r="K26" i="9"/>
  <c r="K25" i="9"/>
  <c r="K24" i="9"/>
  <c r="K23" i="9"/>
  <c r="K22" i="9"/>
  <c r="K21" i="9"/>
  <c r="K20" i="9"/>
  <c r="K19" i="9"/>
  <c r="K18" i="9"/>
  <c r="K17" i="9"/>
  <c r="K16" i="9"/>
  <c r="K15" i="9"/>
  <c r="K14" i="9"/>
  <c r="K13" i="9"/>
  <c r="K11" i="9"/>
  <c r="K10" i="9"/>
  <c r="K9" i="9"/>
  <c r="K8" i="9"/>
  <c r="K7" i="9"/>
  <c r="K6" i="9"/>
  <c r="K5" i="9"/>
  <c r="K3" i="9"/>
  <c r="F159" i="19" l="1"/>
  <c r="F158" i="19"/>
  <c r="F156" i="19"/>
  <c r="A182" i="1"/>
  <c r="H82" i="25" l="1"/>
  <c r="I82" i="25" s="1"/>
  <c r="H81" i="25"/>
  <c r="I81" i="25" s="1"/>
  <c r="H80" i="25"/>
  <c r="I80" i="25" s="1"/>
  <c r="H79" i="25"/>
  <c r="I79" i="25" s="1"/>
  <c r="H78" i="25"/>
  <c r="I78" i="25" s="1"/>
  <c r="H77" i="25"/>
  <c r="I77" i="25" s="1"/>
  <c r="H76" i="25"/>
  <c r="I76" i="25" s="1"/>
  <c r="H75" i="25"/>
  <c r="I75" i="25" s="1"/>
  <c r="H74" i="25"/>
  <c r="I74" i="25" s="1"/>
  <c r="H73" i="25"/>
  <c r="I73" i="25" s="1"/>
  <c r="H72" i="25"/>
  <c r="I72" i="25" s="1"/>
  <c r="H71" i="25"/>
  <c r="I71" i="25" s="1"/>
  <c r="H70" i="25"/>
  <c r="I70" i="25" s="1"/>
  <c r="H69" i="25"/>
  <c r="I69" i="25" s="1"/>
  <c r="H68" i="25"/>
  <c r="I68" i="25" s="1"/>
  <c r="H67" i="25"/>
  <c r="I67" i="25" s="1"/>
  <c r="H66" i="25"/>
  <c r="I66" i="25" s="1"/>
  <c r="H65" i="25"/>
  <c r="I65" i="25" s="1"/>
  <c r="H64" i="25"/>
  <c r="I64" i="25" s="1"/>
  <c r="H63" i="25"/>
  <c r="I63" i="25" s="1"/>
  <c r="H62" i="25"/>
  <c r="I62" i="25" s="1"/>
  <c r="H61" i="25"/>
  <c r="I61" i="25" s="1"/>
  <c r="H60" i="25"/>
  <c r="I60" i="25" s="1"/>
  <c r="H59" i="25"/>
  <c r="I59" i="25" s="1"/>
  <c r="H58" i="25"/>
  <c r="I58" i="25" s="1"/>
  <c r="H57" i="25"/>
  <c r="I57" i="25" s="1"/>
  <c r="H56" i="25"/>
  <c r="I56" i="25" s="1"/>
  <c r="H55" i="25"/>
  <c r="I55" i="25" s="1"/>
  <c r="H54" i="25"/>
  <c r="I54" i="25" s="1"/>
  <c r="H53" i="25"/>
  <c r="I53" i="25" s="1"/>
  <c r="H52" i="25"/>
  <c r="I52" i="25" s="1"/>
  <c r="H51" i="25"/>
  <c r="I51" i="25" s="1"/>
  <c r="H50" i="25"/>
  <c r="I50" i="25" s="1"/>
  <c r="H49" i="25"/>
  <c r="I49" i="25" s="1"/>
  <c r="H48" i="25"/>
  <c r="I48" i="25" s="1"/>
  <c r="H47" i="25"/>
  <c r="I47" i="25" s="1"/>
  <c r="H46" i="25"/>
  <c r="I46" i="25" s="1"/>
  <c r="H45" i="25"/>
  <c r="I45" i="25" s="1"/>
  <c r="H44" i="25"/>
  <c r="I44" i="25" s="1"/>
  <c r="H43" i="25"/>
  <c r="I43" i="25" s="1"/>
  <c r="H42" i="25"/>
  <c r="I42" i="25" s="1"/>
  <c r="H41" i="25"/>
  <c r="I41" i="25" s="1"/>
  <c r="H40" i="25"/>
  <c r="I40" i="25" s="1"/>
  <c r="H39" i="25"/>
  <c r="I39" i="25" s="1"/>
  <c r="H38" i="25"/>
  <c r="I38" i="25" s="1"/>
  <c r="H37" i="25"/>
  <c r="I37" i="25" s="1"/>
  <c r="H36" i="25"/>
  <c r="I36" i="25" s="1"/>
  <c r="H35" i="25"/>
  <c r="I35" i="25" s="1"/>
  <c r="H34" i="25"/>
  <c r="I34" i="25" s="1"/>
  <c r="H33" i="25"/>
  <c r="I33" i="25" s="1"/>
  <c r="H32" i="25"/>
  <c r="I32" i="25" s="1"/>
  <c r="H31" i="25"/>
  <c r="I31" i="25" s="1"/>
  <c r="H30" i="25"/>
  <c r="I30" i="25" s="1"/>
  <c r="H29" i="25"/>
  <c r="I29" i="25" s="1"/>
  <c r="H28" i="25"/>
  <c r="I28" i="25" s="1"/>
  <c r="H27" i="25"/>
  <c r="I27" i="25" s="1"/>
  <c r="H26" i="25"/>
  <c r="I26" i="25" s="1"/>
  <c r="H25" i="25"/>
  <c r="I25" i="25" s="1"/>
  <c r="H24" i="25"/>
  <c r="I24" i="25" s="1"/>
  <c r="H23" i="25"/>
  <c r="I23" i="25" s="1"/>
  <c r="H22" i="25"/>
  <c r="I22" i="25" s="1"/>
  <c r="H21" i="25"/>
  <c r="I21" i="25" s="1"/>
  <c r="H20" i="25"/>
  <c r="I20" i="25" s="1"/>
  <c r="H19" i="25"/>
  <c r="I19" i="25" s="1"/>
  <c r="H18" i="25"/>
  <c r="I18" i="25" s="1"/>
  <c r="H17" i="25"/>
  <c r="I17" i="25" s="1"/>
  <c r="H16" i="25"/>
  <c r="I16" i="25" s="1"/>
  <c r="H15" i="25"/>
  <c r="I15" i="25" s="1"/>
  <c r="H14" i="25"/>
  <c r="I14" i="25" s="1"/>
  <c r="H13" i="25"/>
  <c r="I13" i="25" s="1"/>
  <c r="H12" i="25"/>
  <c r="I12" i="25" s="1"/>
  <c r="H11" i="25"/>
  <c r="I11" i="25" s="1"/>
  <c r="H10" i="25"/>
  <c r="I10" i="25" s="1"/>
  <c r="H9" i="25"/>
  <c r="I9" i="25" s="1"/>
  <c r="H8" i="25"/>
  <c r="I8" i="25" s="1"/>
  <c r="H7" i="25"/>
  <c r="I7" i="25" s="1"/>
  <c r="H6" i="25"/>
  <c r="I6" i="25" s="1"/>
  <c r="H5" i="25"/>
  <c r="I5" i="25" s="1"/>
  <c r="H4" i="25"/>
  <c r="I4" i="25" s="1"/>
  <c r="H3" i="25"/>
  <c r="I3" i="25" s="1"/>
  <c r="H2" i="25"/>
  <c r="I2" i="25" s="1"/>
  <c r="B158" i="19" l="1"/>
  <c r="B153" i="19"/>
  <c r="B152" i="19"/>
  <c r="B150" i="19"/>
  <c r="B148" i="19"/>
  <c r="B146" i="19"/>
  <c r="B145" i="19"/>
  <c r="B144" i="19"/>
  <c r="B142" i="19"/>
  <c r="B141" i="19"/>
  <c r="B139" i="19"/>
  <c r="B138" i="19"/>
  <c r="B137" i="19"/>
  <c r="B136" i="19"/>
  <c r="B134" i="19"/>
  <c r="B133" i="19"/>
  <c r="B132" i="19"/>
  <c r="B131" i="19"/>
  <c r="B130" i="19"/>
  <c r="B129" i="19"/>
  <c r="B125" i="19"/>
  <c r="B124" i="19"/>
  <c r="B123" i="19"/>
  <c r="B122" i="19"/>
  <c r="B121" i="19"/>
  <c r="B119" i="19"/>
  <c r="B118" i="19"/>
  <c r="B117" i="19"/>
  <c r="B116" i="19"/>
  <c r="B115" i="19"/>
  <c r="B114" i="19"/>
  <c r="B113" i="19"/>
  <c r="B112" i="19"/>
  <c r="B109" i="19"/>
  <c r="B108" i="19"/>
  <c r="B106" i="19"/>
  <c r="B105" i="19"/>
  <c r="B104" i="19"/>
  <c r="B101" i="19"/>
  <c r="B100" i="19"/>
  <c r="B99" i="19"/>
  <c r="B97" i="19"/>
  <c r="B95" i="19"/>
  <c r="B93" i="19"/>
  <c r="B90" i="19"/>
  <c r="B89" i="19"/>
  <c r="B88" i="19"/>
  <c r="B87" i="19"/>
  <c r="B86" i="19"/>
  <c r="B85" i="19"/>
  <c r="B84" i="19"/>
  <c r="B83" i="19"/>
  <c r="B77" i="19"/>
  <c r="B76" i="19"/>
  <c r="B74" i="19"/>
  <c r="B73" i="19"/>
  <c r="B72" i="19"/>
  <c r="B71" i="19"/>
  <c r="B70" i="19"/>
  <c r="B69" i="19"/>
  <c r="B68" i="19"/>
  <c r="B67" i="19"/>
  <c r="B66" i="19"/>
  <c r="B65" i="19"/>
  <c r="B64" i="19"/>
  <c r="B63" i="19"/>
  <c r="B62" i="19"/>
  <c r="B60" i="19"/>
  <c r="B59" i="19"/>
  <c r="B58" i="19"/>
  <c r="B57" i="19"/>
  <c r="B56" i="19"/>
  <c r="B55" i="19"/>
  <c r="B54" i="19"/>
  <c r="B53" i="19"/>
  <c r="B52" i="19"/>
  <c r="B51" i="19"/>
  <c r="B50" i="19"/>
  <c r="B47" i="19"/>
  <c r="B46" i="19"/>
  <c r="B45" i="19"/>
  <c r="B44" i="19"/>
  <c r="B43" i="19"/>
  <c r="B41" i="19"/>
  <c r="B40" i="19"/>
  <c r="B39" i="19"/>
  <c r="B34" i="19"/>
  <c r="B32" i="19"/>
  <c r="B30" i="19"/>
  <c r="B29" i="19"/>
  <c r="B28" i="19"/>
  <c r="B27" i="19"/>
  <c r="B26" i="19"/>
  <c r="B25" i="19"/>
  <c r="B23" i="19"/>
  <c r="B22" i="19"/>
  <c r="B21" i="19"/>
  <c r="B20" i="19"/>
  <c r="B19" i="19"/>
  <c r="B18" i="19"/>
  <c r="B17" i="19"/>
  <c r="B15" i="19"/>
  <c r="B14" i="19"/>
  <c r="B13" i="19"/>
  <c r="B12" i="19"/>
  <c r="B11" i="19"/>
  <c r="B9" i="19"/>
  <c r="B8" i="19"/>
  <c r="B7" i="19"/>
  <c r="B6" i="19"/>
  <c r="B5" i="19"/>
  <c r="B4" i="19"/>
  <c r="B2" i="19"/>
  <c r="C159" i="19"/>
  <c r="C158" i="19"/>
  <c r="C155" i="19"/>
  <c r="C151" i="19"/>
  <c r="C150" i="19"/>
  <c r="C148" i="19"/>
  <c r="C146" i="19"/>
  <c r="C145" i="19"/>
  <c r="C140" i="19"/>
  <c r="C137" i="19"/>
  <c r="C136" i="19"/>
  <c r="C134" i="19"/>
  <c r="C133" i="19"/>
  <c r="C132" i="19"/>
  <c r="C131" i="19"/>
  <c r="C125" i="19"/>
  <c r="C124" i="19"/>
  <c r="C123" i="19"/>
  <c r="C121" i="19"/>
  <c r="C119" i="19"/>
  <c r="C118" i="19"/>
  <c r="C117" i="19"/>
  <c r="C115" i="19"/>
  <c r="C113" i="19"/>
  <c r="C112" i="19"/>
  <c r="C111" i="19"/>
  <c r="C110" i="19"/>
  <c r="C109" i="19"/>
  <c r="C108" i="19"/>
  <c r="C107" i="19"/>
  <c r="C106" i="19"/>
  <c r="C105" i="19"/>
  <c r="C102" i="19"/>
  <c r="C100" i="19"/>
  <c r="C99" i="19"/>
  <c r="C97" i="19"/>
  <c r="C96" i="19"/>
  <c r="C95" i="19"/>
  <c r="C94" i="19"/>
  <c r="C93" i="19"/>
  <c r="C92" i="19"/>
  <c r="C91" i="19"/>
  <c r="C90" i="19"/>
  <c r="C88" i="19"/>
  <c r="C87" i="19"/>
  <c r="C82" i="19"/>
  <c r="C81" i="19"/>
  <c r="C80" i="19"/>
  <c r="C79" i="19"/>
  <c r="C78" i="19"/>
  <c r="C77" i="19"/>
  <c r="C76" i="19"/>
  <c r="C71" i="19"/>
  <c r="C70" i="19"/>
  <c r="C69" i="19"/>
  <c r="C68" i="19"/>
  <c r="C67" i="19"/>
  <c r="C66" i="19"/>
  <c r="C65" i="19"/>
  <c r="C64" i="19"/>
  <c r="C63" i="19"/>
  <c r="C62" i="19"/>
  <c r="C59" i="19"/>
  <c r="C58" i="19"/>
  <c r="C57" i="19"/>
  <c r="C56" i="19"/>
  <c r="C55" i="19"/>
  <c r="C54" i="19"/>
  <c r="C53" i="19"/>
  <c r="C52" i="19"/>
  <c r="C51" i="19"/>
  <c r="C47" i="19"/>
  <c r="C46" i="19"/>
  <c r="C45" i="19"/>
  <c r="C44" i="19"/>
  <c r="C43" i="19"/>
  <c r="C41" i="19"/>
  <c r="C40" i="19"/>
  <c r="C39" i="19"/>
  <c r="C38" i="19"/>
  <c r="C32" i="19"/>
  <c r="C31" i="19"/>
  <c r="C29" i="19"/>
  <c r="C28" i="19"/>
  <c r="C27" i="19"/>
  <c r="C25" i="19"/>
  <c r="C24" i="19"/>
  <c r="C23" i="19"/>
  <c r="C22" i="19"/>
  <c r="C21" i="19"/>
  <c r="C17" i="19"/>
  <c r="C16" i="19"/>
  <c r="C15" i="19"/>
  <c r="C14" i="19"/>
  <c r="C13" i="19"/>
  <c r="C12" i="19"/>
  <c r="C11" i="19"/>
  <c r="C10" i="19"/>
  <c r="C7" i="19"/>
  <c r="C6" i="19"/>
  <c r="C4" i="19"/>
  <c r="C3" i="19"/>
  <c r="A168" i="1"/>
  <c r="A169" i="1"/>
  <c r="A170" i="1"/>
  <c r="A171" i="1"/>
  <c r="A172" i="1"/>
  <c r="A173" i="1"/>
  <c r="A174" i="1"/>
  <c r="A175" i="1"/>
  <c r="A176" i="1"/>
  <c r="A177" i="1"/>
  <c r="A178" i="1"/>
  <c r="A179" i="1"/>
  <c r="A180" i="1"/>
  <c r="A181" i="1"/>
  <c r="A183" i="1"/>
  <c r="A184" i="1"/>
  <c r="A185" i="1"/>
  <c r="A186" i="1"/>
  <c r="A187" i="1"/>
  <c r="A188" i="1"/>
  <c r="B76" i="10"/>
  <c r="I62" i="10" s="1"/>
  <c r="B142" i="24"/>
  <c r="B176" i="23"/>
  <c r="B182" i="1" s="1"/>
  <c r="B183" i="23"/>
  <c r="B188" i="1" s="1"/>
  <c r="B182" i="23"/>
  <c r="B187" i="1" s="1"/>
  <c r="B180" i="23"/>
  <c r="B186" i="1" s="1"/>
  <c r="B179" i="23"/>
  <c r="B185" i="1" s="1"/>
  <c r="B178" i="23"/>
  <c r="B184" i="1" s="1"/>
  <c r="B177" i="23"/>
  <c r="B183" i="1" s="1"/>
  <c r="B175" i="23"/>
  <c r="B181" i="1" s="1"/>
  <c r="B174" i="23"/>
  <c r="B180" i="1" s="1"/>
  <c r="B173" i="23"/>
  <c r="B179" i="1" s="1"/>
  <c r="B172" i="23"/>
  <c r="B178" i="1" s="1"/>
  <c r="B171" i="23"/>
  <c r="B177" i="1" s="1"/>
  <c r="B170" i="23"/>
  <c r="B176" i="1" s="1"/>
  <c r="B169" i="23"/>
  <c r="B175" i="1" s="1"/>
  <c r="B168" i="23"/>
  <c r="B174" i="1" s="1"/>
  <c r="B167" i="23"/>
  <c r="B173" i="1" s="1"/>
  <c r="B166" i="23"/>
  <c r="B172" i="1" s="1"/>
  <c r="B165" i="23"/>
  <c r="B171" i="1" s="1"/>
  <c r="B164" i="23"/>
  <c r="B163" i="23"/>
  <c r="B169" i="1" s="1"/>
  <c r="B162" i="23"/>
  <c r="B168" i="1" s="1"/>
  <c r="B156" i="19"/>
  <c r="B155" i="19"/>
  <c r="B151" i="19"/>
  <c r="B147" i="19"/>
  <c r="B107" i="19"/>
  <c r="B102" i="19"/>
  <c r="B96" i="19"/>
  <c r="B94" i="19"/>
  <c r="B91" i="19"/>
  <c r="B80" i="19"/>
  <c r="B78" i="19"/>
  <c r="B49" i="19"/>
  <c r="B48" i="19"/>
  <c r="B38" i="19"/>
  <c r="B16" i="19"/>
  <c r="C157" i="19"/>
  <c r="C152" i="19"/>
  <c r="C147" i="19"/>
  <c r="C139" i="19"/>
  <c r="C138" i="19"/>
  <c r="C126" i="19"/>
  <c r="C114" i="19"/>
  <c r="C98" i="19"/>
  <c r="C86" i="19"/>
  <c r="C84" i="19"/>
  <c r="C83" i="19"/>
  <c r="C73" i="19"/>
  <c r="B3" i="19"/>
  <c r="C2" i="19"/>
  <c r="B39" i="24"/>
  <c r="B159" i="24"/>
  <c r="B158" i="24"/>
  <c r="B156" i="24"/>
  <c r="B145" i="24"/>
  <c r="B136" i="24"/>
  <c r="B135" i="24"/>
  <c r="B127" i="24"/>
  <c r="B120" i="24"/>
  <c r="B107" i="24"/>
  <c r="B99" i="24"/>
  <c r="B92" i="24"/>
  <c r="B91" i="24"/>
  <c r="B88" i="24"/>
  <c r="B82" i="24"/>
  <c r="B79" i="24"/>
  <c r="B75" i="24"/>
  <c r="B63" i="24"/>
  <c r="B61" i="24"/>
  <c r="B41" i="24"/>
  <c r="B37" i="24"/>
  <c r="B35" i="24"/>
  <c r="B30" i="24"/>
  <c r="B18" i="24"/>
  <c r="B4" i="24"/>
  <c r="D188" i="10"/>
  <c r="B159" i="19"/>
  <c r="B140" i="19"/>
  <c r="B126" i="19"/>
  <c r="B110" i="19"/>
  <c r="B98" i="19"/>
  <c r="B92" i="19"/>
  <c r="B82" i="19"/>
  <c r="B31" i="19"/>
  <c r="C142" i="19"/>
  <c r="C130" i="19"/>
  <c r="C122" i="19"/>
  <c r="C104" i="19"/>
  <c r="C85" i="19"/>
  <c r="C72" i="19"/>
  <c r="C50" i="19"/>
  <c r="C48" i="19"/>
  <c r="C34" i="19"/>
  <c r="C33" i="19"/>
  <c r="C20" i="19"/>
  <c r="C9" i="19"/>
  <c r="C5" i="19"/>
  <c r="B137" i="10"/>
  <c r="I124" i="10" s="1"/>
  <c r="M124" i="10" s="1"/>
  <c r="B157" i="19"/>
  <c r="C154" i="19"/>
  <c r="B154" i="19"/>
  <c r="C153" i="19"/>
  <c r="C144" i="19"/>
  <c r="C143" i="19"/>
  <c r="B143" i="19"/>
  <c r="C141" i="19"/>
  <c r="C129" i="19"/>
  <c r="C128" i="19"/>
  <c r="B128" i="19"/>
  <c r="C127" i="19"/>
  <c r="B127" i="19"/>
  <c r="C116" i="19"/>
  <c r="B111" i="19"/>
  <c r="C101" i="19"/>
  <c r="C89" i="19"/>
  <c r="B81" i="19"/>
  <c r="B79" i="19"/>
  <c r="C74" i="19"/>
  <c r="C60" i="19"/>
  <c r="C42" i="19"/>
  <c r="C37" i="19"/>
  <c r="B37" i="19"/>
  <c r="C36" i="19"/>
  <c r="B36" i="19"/>
  <c r="C35" i="19"/>
  <c r="B35" i="19"/>
  <c r="B33" i="19"/>
  <c r="C30" i="19"/>
  <c r="C26" i="19"/>
  <c r="B24" i="19"/>
  <c r="C19" i="19"/>
  <c r="C18" i="19"/>
  <c r="B10" i="19"/>
  <c r="C8" i="19"/>
  <c r="C156" i="19"/>
  <c r="B141" i="24"/>
  <c r="B137" i="24"/>
  <c r="B130" i="24"/>
  <c r="B93" i="24"/>
  <c r="B90" i="24"/>
  <c r="B67" i="24"/>
  <c r="J41" i="23"/>
  <c r="L3" i="23" s="1"/>
  <c r="A82" i="19"/>
  <c r="A79" i="24"/>
  <c r="K26" i="1"/>
  <c r="J28" i="1"/>
  <c r="J29" i="1"/>
  <c r="J30" i="1"/>
  <c r="B1" i="3"/>
  <c r="A107" i="2"/>
  <c r="B20" i="17"/>
  <c r="B19" i="17"/>
  <c r="B123" i="10"/>
  <c r="F176" i="10" s="1"/>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6" i="2"/>
  <c r="A105" i="2"/>
  <c r="A104" i="2"/>
  <c r="A102" i="2"/>
  <c r="A101" i="2"/>
  <c r="A100" i="2"/>
  <c r="A99" i="2"/>
  <c r="A98" i="2"/>
  <c r="A97" i="2"/>
  <c r="A96" i="2"/>
  <c r="A95" i="2"/>
  <c r="A94" i="2"/>
  <c r="A93" i="2"/>
  <c r="A92" i="2"/>
  <c r="A91" i="2"/>
  <c r="A90" i="2"/>
  <c r="A89" i="2"/>
  <c r="A88" i="2"/>
  <c r="A87" i="2"/>
  <c r="A86" i="2"/>
  <c r="A85" i="2"/>
  <c r="A84" i="2"/>
  <c r="A83"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B167" i="10"/>
  <c r="I141" i="10" s="1"/>
  <c r="B61" i="10"/>
  <c r="F173" i="10" s="1"/>
  <c r="B96" i="10"/>
  <c r="I94" i="10" s="1"/>
  <c r="L94" i="10" s="1"/>
  <c r="B140" i="10"/>
  <c r="F178" i="10" s="1"/>
  <c r="K18" i="23"/>
  <c r="A2" i="2"/>
  <c r="A74" i="24"/>
  <c r="B74" i="24" s="1"/>
  <c r="A37" i="24"/>
  <c r="A19" i="24"/>
  <c r="B19" i="24" s="1"/>
  <c r="A2" i="24"/>
  <c r="A3" i="24"/>
  <c r="A4" i="24"/>
  <c r="A5" i="24"/>
  <c r="B5" i="24" s="1"/>
  <c r="A6" i="24"/>
  <c r="B6" i="24" s="1"/>
  <c r="A7" i="24"/>
  <c r="B7" i="24" s="1"/>
  <c r="A8" i="24"/>
  <c r="B8" i="24" s="1"/>
  <c r="A9" i="24"/>
  <c r="B9" i="24" s="1"/>
  <c r="A10" i="24"/>
  <c r="B10" i="24" s="1"/>
  <c r="A11" i="24"/>
  <c r="B11" i="24" s="1"/>
  <c r="A12" i="24"/>
  <c r="B12" i="24" s="1"/>
  <c r="A13" i="24"/>
  <c r="B13" i="24" s="1"/>
  <c r="A14" i="24"/>
  <c r="B14" i="24" s="1"/>
  <c r="A15" i="24"/>
  <c r="B15" i="24" s="1"/>
  <c r="A16" i="24"/>
  <c r="B16" i="24" s="1"/>
  <c r="A17" i="24"/>
  <c r="B17" i="24" s="1"/>
  <c r="A18" i="24"/>
  <c r="A20" i="24"/>
  <c r="B20" i="24" s="1"/>
  <c r="A21" i="24"/>
  <c r="B21" i="24" s="1"/>
  <c r="A22" i="24"/>
  <c r="B22" i="24" s="1"/>
  <c r="A23" i="24"/>
  <c r="B23" i="24" s="1"/>
  <c r="A24" i="24"/>
  <c r="B24" i="24" s="1"/>
  <c r="A25" i="24"/>
  <c r="B25" i="24" s="1"/>
  <c r="A26" i="24"/>
  <c r="B26" i="24" s="1"/>
  <c r="A27" i="24"/>
  <c r="B27" i="24" s="1"/>
  <c r="A28" i="24"/>
  <c r="B28" i="24" s="1"/>
  <c r="B29" i="24"/>
  <c r="A30" i="24"/>
  <c r="A31" i="24"/>
  <c r="B31" i="24" s="1"/>
  <c r="A32" i="24"/>
  <c r="B32" i="24" s="1"/>
  <c r="A33" i="24"/>
  <c r="B33" i="24" s="1"/>
  <c r="A34" i="24"/>
  <c r="B34" i="24" s="1"/>
  <c r="A35" i="24"/>
  <c r="A36" i="24"/>
  <c r="A38" i="24"/>
  <c r="B38" i="24" s="1"/>
  <c r="A39" i="24"/>
  <c r="A40" i="24"/>
  <c r="B40" i="24" s="1"/>
  <c r="A41" i="24"/>
  <c r="A42" i="24"/>
  <c r="B42" i="24" s="1"/>
  <c r="A43" i="24"/>
  <c r="B43" i="24" s="1"/>
  <c r="A44" i="24"/>
  <c r="B44" i="24" s="1"/>
  <c r="A45" i="24"/>
  <c r="B45" i="24" s="1"/>
  <c r="A46" i="24"/>
  <c r="B46" i="24" s="1"/>
  <c r="A47" i="24"/>
  <c r="B47" i="24" s="1"/>
  <c r="A48" i="24"/>
  <c r="B48" i="24" s="1"/>
  <c r="A49" i="24"/>
  <c r="B49" i="24" s="1"/>
  <c r="A50" i="24"/>
  <c r="B50" i="24" s="1"/>
  <c r="A51" i="24"/>
  <c r="B51" i="24" s="1"/>
  <c r="A52" i="24"/>
  <c r="B52" i="24" s="1"/>
  <c r="A53" i="24"/>
  <c r="B53" i="24" s="1"/>
  <c r="A54" i="24"/>
  <c r="B54" i="24" s="1"/>
  <c r="A55" i="24"/>
  <c r="B55" i="24" s="1"/>
  <c r="A56" i="24"/>
  <c r="B56" i="24" s="1"/>
  <c r="A57" i="24"/>
  <c r="B57" i="24" s="1"/>
  <c r="A58" i="24"/>
  <c r="B58" i="24" s="1"/>
  <c r="A59" i="24"/>
  <c r="B59" i="24" s="1"/>
  <c r="A60" i="24"/>
  <c r="B60" i="24" s="1"/>
  <c r="A61" i="24"/>
  <c r="A62" i="24"/>
  <c r="B62" i="24" s="1"/>
  <c r="A63" i="24"/>
  <c r="A64" i="24"/>
  <c r="B64" i="24" s="1"/>
  <c r="A65" i="24"/>
  <c r="B65" i="24" s="1"/>
  <c r="A66" i="24"/>
  <c r="B66" i="24" s="1"/>
  <c r="A68" i="24"/>
  <c r="B68" i="24" s="1"/>
  <c r="A69" i="24"/>
  <c r="B69" i="24" s="1"/>
  <c r="A70" i="24"/>
  <c r="B70" i="24" s="1"/>
  <c r="A71" i="24"/>
  <c r="B71" i="24" s="1"/>
  <c r="A72" i="24"/>
  <c r="B72" i="24" s="1"/>
  <c r="A73" i="24"/>
  <c r="B73" i="24" s="1"/>
  <c r="A75" i="24"/>
  <c r="A76" i="24"/>
  <c r="B76" i="24" s="1"/>
  <c r="A77" i="24"/>
  <c r="B77" i="24" s="1"/>
  <c r="A78" i="24"/>
  <c r="B78" i="24" s="1"/>
  <c r="A80" i="24"/>
  <c r="B80" i="24" s="1"/>
  <c r="A81" i="24"/>
  <c r="B81" i="24" s="1"/>
  <c r="A83" i="24"/>
  <c r="B83" i="24" s="1"/>
  <c r="A84" i="24"/>
  <c r="B84" i="24" s="1"/>
  <c r="A85" i="24"/>
  <c r="B85" i="24" s="1"/>
  <c r="A86" i="24"/>
  <c r="B86" i="24" s="1"/>
  <c r="A87" i="24"/>
  <c r="B87" i="24" s="1"/>
  <c r="A88" i="24"/>
  <c r="A89" i="24"/>
  <c r="B89" i="24" s="1"/>
  <c r="A91" i="24"/>
  <c r="A94" i="24"/>
  <c r="B94" i="24" s="1"/>
  <c r="A95" i="24"/>
  <c r="B95" i="24" s="1"/>
  <c r="A96" i="24"/>
  <c r="B96" i="24" s="1"/>
  <c r="A97" i="24"/>
  <c r="B97" i="24" s="1"/>
  <c r="A98" i="24"/>
  <c r="B98" i="24" s="1"/>
  <c r="A99" i="24"/>
  <c r="A100" i="24"/>
  <c r="B100" i="24" s="1"/>
  <c r="A101" i="24"/>
  <c r="B101" i="24" s="1"/>
  <c r="A102" i="24"/>
  <c r="B102" i="24" s="1"/>
  <c r="A104" i="24"/>
  <c r="B104" i="24" s="1"/>
  <c r="A105" i="24"/>
  <c r="B105" i="24" s="1"/>
  <c r="A106" i="24"/>
  <c r="B106" i="24" s="1"/>
  <c r="A108" i="24"/>
  <c r="B108" i="24" s="1"/>
  <c r="A109" i="24"/>
  <c r="B109" i="24" s="1"/>
  <c r="A110" i="24"/>
  <c r="B110" i="24" s="1"/>
  <c r="A111" i="24"/>
  <c r="B111" i="24" s="1"/>
  <c r="A112" i="24"/>
  <c r="B112" i="24" s="1"/>
  <c r="A113" i="24"/>
  <c r="B113" i="24" s="1"/>
  <c r="A114" i="24"/>
  <c r="B114" i="24" s="1"/>
  <c r="A115" i="24"/>
  <c r="B115" i="24" s="1"/>
  <c r="A116" i="24"/>
  <c r="B116" i="24" s="1"/>
  <c r="A117" i="24"/>
  <c r="B117" i="24" s="1"/>
  <c r="A118" i="24"/>
  <c r="B118" i="24" s="1"/>
  <c r="A119" i="24"/>
  <c r="B119" i="24" s="1"/>
  <c r="A120" i="24"/>
  <c r="A121" i="24"/>
  <c r="B121" i="24" s="1"/>
  <c r="A122" i="24"/>
  <c r="B122" i="24" s="1"/>
  <c r="A123" i="24"/>
  <c r="B123" i="24" s="1"/>
  <c r="A124" i="24"/>
  <c r="B124" i="24" s="1"/>
  <c r="A125" i="24"/>
  <c r="B125" i="24" s="1"/>
  <c r="A126" i="24"/>
  <c r="B126" i="24" s="1"/>
  <c r="A127" i="24"/>
  <c r="A128" i="24"/>
  <c r="B128" i="24" s="1"/>
  <c r="A129" i="24"/>
  <c r="B129" i="24" s="1"/>
  <c r="A131" i="24"/>
  <c r="B131" i="24" s="1"/>
  <c r="A132" i="24"/>
  <c r="B132" i="24" s="1"/>
  <c r="A133" i="24"/>
  <c r="B133" i="24" s="1"/>
  <c r="A134" i="24"/>
  <c r="B134" i="24" s="1"/>
  <c r="A135" i="24"/>
  <c r="A136" i="24"/>
  <c r="A138" i="24"/>
  <c r="B138" i="24" s="1"/>
  <c r="A139" i="24"/>
  <c r="B139" i="24" s="1"/>
  <c r="A140" i="24"/>
  <c r="B140" i="24" s="1"/>
  <c r="A143" i="24"/>
  <c r="B143" i="24" s="1"/>
  <c r="A144" i="24"/>
  <c r="B144" i="24" s="1"/>
  <c r="A146" i="24"/>
  <c r="B146" i="24" s="1"/>
  <c r="A147" i="24"/>
  <c r="B147" i="24" s="1"/>
  <c r="A148" i="24"/>
  <c r="B148" i="24" s="1"/>
  <c r="A149" i="24"/>
  <c r="B149" i="24" s="1"/>
  <c r="A150" i="24"/>
  <c r="B150" i="24" s="1"/>
  <c r="A151" i="24"/>
  <c r="B151" i="24" s="1"/>
  <c r="A152" i="24"/>
  <c r="B152" i="24" s="1"/>
  <c r="A153" i="24"/>
  <c r="B153" i="24" s="1"/>
  <c r="A154" i="24"/>
  <c r="A155" i="24"/>
  <c r="B155" i="24" s="1"/>
  <c r="A157" i="24"/>
  <c r="B157" i="24" s="1"/>
  <c r="A179" i="10"/>
  <c r="A178" i="10"/>
  <c r="A177" i="10"/>
  <c r="A176" i="10"/>
  <c r="A175" i="10"/>
  <c r="A174" i="10"/>
  <c r="A173" i="10"/>
  <c r="A172" i="10"/>
  <c r="A171" i="10"/>
  <c r="C1" i="3"/>
  <c r="K31" i="1"/>
  <c r="A87" i="5"/>
  <c r="A116" i="3"/>
  <c r="A62" i="5"/>
  <c r="A61" i="5"/>
  <c r="A84" i="5"/>
  <c r="C84" i="5" s="1"/>
  <c r="A118" i="5"/>
  <c r="C118" i="5" s="1"/>
  <c r="A2" i="5"/>
  <c r="A86" i="5"/>
  <c r="A81" i="5"/>
  <c r="A108" i="5"/>
  <c r="C108" i="5" s="1"/>
  <c r="C188" i="10"/>
  <c r="B188" i="10"/>
  <c r="A40" i="5"/>
  <c r="C40" i="5" s="1"/>
  <c r="A36" i="5"/>
  <c r="A39" i="5"/>
  <c r="I43" i="10"/>
  <c r="M43" i="10" s="1"/>
  <c r="F21" i="25" l="1"/>
  <c r="F3" i="25"/>
  <c r="C153" i="2"/>
  <c r="B154" i="24"/>
  <c r="B30" i="17"/>
  <c r="I148" i="10"/>
  <c r="K148" i="10" s="1"/>
  <c r="I129" i="10"/>
  <c r="K129" i="10" s="1"/>
  <c r="I126" i="10"/>
  <c r="K126" i="10" s="1"/>
  <c r="I72" i="10"/>
  <c r="J72" i="10" s="1"/>
  <c r="I132" i="10"/>
  <c r="J132" i="10" s="1"/>
  <c r="I67" i="10"/>
  <c r="J67" i="10" s="1"/>
  <c r="F177" i="10"/>
  <c r="I135" i="10"/>
  <c r="L135" i="10" s="1"/>
  <c r="I133" i="10"/>
  <c r="L133" i="10" s="1"/>
  <c r="I131" i="10"/>
  <c r="L131" i="10" s="1"/>
  <c r="A82" i="2"/>
  <c r="E103" i="2"/>
  <c r="D103" i="2" s="1"/>
  <c r="B103" i="2"/>
  <c r="B104" i="2"/>
  <c r="B2" i="2"/>
  <c r="A88" i="3"/>
  <c r="A111" i="3"/>
  <c r="A101" i="5"/>
  <c r="A21" i="5"/>
  <c r="A33" i="5"/>
  <c r="C33" i="5" s="1"/>
  <c r="A45" i="5"/>
  <c r="C45" i="5" s="1"/>
  <c r="A54" i="5"/>
  <c r="C54" i="5" s="1"/>
  <c r="A57" i="3"/>
  <c r="A69" i="3"/>
  <c r="A81" i="3"/>
  <c r="A70" i="3"/>
  <c r="A94" i="3"/>
  <c r="A117" i="5"/>
  <c r="C117" i="5" s="1"/>
  <c r="A25" i="5"/>
  <c r="C25" i="5" s="1"/>
  <c r="D25" i="3" s="1"/>
  <c r="A49" i="5"/>
  <c r="C49" i="5" s="1"/>
  <c r="A60" i="3"/>
  <c r="A119" i="3"/>
  <c r="A77" i="5"/>
  <c r="C77" i="5" s="1"/>
  <c r="A86" i="3"/>
  <c r="A64" i="5"/>
  <c r="C64" i="5" s="1"/>
  <c r="A43" i="5"/>
  <c r="C43" i="5" s="1"/>
  <c r="A4" i="4"/>
  <c r="A98" i="5"/>
  <c r="A57" i="5"/>
  <c r="C57" i="5" s="1"/>
  <c r="A117" i="3"/>
  <c r="H57" i="3"/>
  <c r="H81" i="3"/>
  <c r="B81" i="3"/>
  <c r="I81" i="3"/>
  <c r="A122" i="5"/>
  <c r="C122" i="5" s="1"/>
  <c r="A129" i="1"/>
  <c r="A122" i="3"/>
  <c r="A134" i="5"/>
  <c r="C134" i="5" s="1"/>
  <c r="D134" i="5" s="1"/>
  <c r="A141" i="1"/>
  <c r="A134" i="3"/>
  <c r="A146" i="5"/>
  <c r="C146" i="5" s="1"/>
  <c r="A153" i="1"/>
  <c r="A146" i="3"/>
  <c r="A158" i="5"/>
  <c r="C158" i="5" s="1"/>
  <c r="A165" i="1"/>
  <c r="A158" i="23" s="1"/>
  <c r="F158" i="23" s="1"/>
  <c r="A158" i="3"/>
  <c r="B116" i="3"/>
  <c r="I116" i="3"/>
  <c r="H116" i="3"/>
  <c r="A123" i="5"/>
  <c r="C123" i="5" s="1"/>
  <c r="A123" i="3"/>
  <c r="A130" i="1"/>
  <c r="A135" i="5"/>
  <c r="C135" i="5" s="1"/>
  <c r="D135" i="5" s="1"/>
  <c r="A142" i="1"/>
  <c r="A135" i="3"/>
  <c r="A147" i="5"/>
  <c r="C147" i="5" s="1"/>
  <c r="A154" i="1"/>
  <c r="A147" i="3"/>
  <c r="A148" i="5"/>
  <c r="C148" i="5" s="1"/>
  <c r="D148" i="5" s="1"/>
  <c r="A148" i="3"/>
  <c r="A155" i="1"/>
  <c r="A126" i="5"/>
  <c r="C126" i="5" s="1"/>
  <c r="D126" i="5" s="1"/>
  <c r="A133" i="1"/>
  <c r="A126" i="3"/>
  <c r="A127" i="5"/>
  <c r="C127" i="5" s="1"/>
  <c r="D127" i="5" s="1"/>
  <c r="A134" i="1"/>
  <c r="A127" i="3"/>
  <c r="A139" i="5"/>
  <c r="C139" i="5" s="1"/>
  <c r="D139" i="5" s="1"/>
  <c r="A139" i="3"/>
  <c r="A146" i="1"/>
  <c r="A151" i="5"/>
  <c r="C151" i="5" s="1"/>
  <c r="D151" i="5" s="1"/>
  <c r="A158" i="1"/>
  <c r="A151" i="3"/>
  <c r="A124" i="5"/>
  <c r="C124" i="5" s="1"/>
  <c r="A124" i="3"/>
  <c r="A131" i="1"/>
  <c r="A128" i="3"/>
  <c r="A128" i="5"/>
  <c r="C128" i="5" s="1"/>
  <c r="A135" i="1"/>
  <c r="A140" i="3"/>
  <c r="A140" i="5"/>
  <c r="C140" i="5" s="1"/>
  <c r="D140" i="5" s="1"/>
  <c r="A147" i="1"/>
  <c r="A152" i="3"/>
  <c r="A152" i="5"/>
  <c r="C152" i="5" s="1"/>
  <c r="A159" i="1"/>
  <c r="A150" i="5"/>
  <c r="C150" i="5" s="1"/>
  <c r="A157" i="1"/>
  <c r="A150" i="3"/>
  <c r="A136" i="1"/>
  <c r="A129" i="3"/>
  <c r="A129" i="5"/>
  <c r="C129" i="5" s="1"/>
  <c r="A148" i="1"/>
  <c r="A141" i="3"/>
  <c r="A141" i="5"/>
  <c r="C141" i="5" s="1"/>
  <c r="D141" i="5" s="1"/>
  <c r="A160" i="1"/>
  <c r="A153" i="3"/>
  <c r="A153" i="5"/>
  <c r="C153" i="5" s="1"/>
  <c r="A136" i="5"/>
  <c r="C136" i="5" s="1"/>
  <c r="D136" i="5" s="1"/>
  <c r="A143" i="1"/>
  <c r="A136" i="3"/>
  <c r="A149" i="5"/>
  <c r="C149" i="5" s="1"/>
  <c r="D149" i="5" s="1"/>
  <c r="A149" i="3"/>
  <c r="A156" i="1"/>
  <c r="H69" i="3"/>
  <c r="I69" i="3"/>
  <c r="H86" i="3"/>
  <c r="I86" i="3"/>
  <c r="A137" i="1"/>
  <c r="A130" i="3"/>
  <c r="A130" i="5"/>
  <c r="C130" i="5" s="1"/>
  <c r="D130" i="5" s="1"/>
  <c r="A142" i="3"/>
  <c r="A149" i="1"/>
  <c r="A142" i="5"/>
  <c r="C142" i="5" s="1"/>
  <c r="D142" i="5" s="1"/>
  <c r="A161" i="1"/>
  <c r="A154" i="3"/>
  <c r="A154" i="5"/>
  <c r="C154" i="5" s="1"/>
  <c r="H70" i="3"/>
  <c r="I70" i="3"/>
  <c r="B70" i="3"/>
  <c r="I2" i="3"/>
  <c r="H119" i="3"/>
  <c r="B119" i="3"/>
  <c r="I119" i="3"/>
  <c r="A131" i="3"/>
  <c r="A138" i="1"/>
  <c r="A131" i="5"/>
  <c r="C131" i="5" s="1"/>
  <c r="A143" i="3"/>
  <c r="A150" i="1"/>
  <c r="A143" i="5"/>
  <c r="C143" i="5" s="1"/>
  <c r="A155" i="3"/>
  <c r="A162" i="1"/>
  <c r="A155" i="23" s="1"/>
  <c r="F155" i="23" s="1"/>
  <c r="A155" i="5"/>
  <c r="C155" i="5" s="1"/>
  <c r="D155" i="5" s="1"/>
  <c r="A125" i="5"/>
  <c r="C125" i="5" s="1"/>
  <c r="A125" i="3"/>
  <c r="A132" i="1"/>
  <c r="A138" i="5"/>
  <c r="C138" i="5" s="1"/>
  <c r="A145" i="1"/>
  <c r="A138" i="23" s="1"/>
  <c r="B138" i="23" s="1"/>
  <c r="A138" i="3"/>
  <c r="I5" i="3"/>
  <c r="I88" i="3"/>
  <c r="H88" i="3"/>
  <c r="B88" i="3"/>
  <c r="A132" i="3"/>
  <c r="A139" i="1"/>
  <c r="A132" i="5"/>
  <c r="C132" i="5" s="1"/>
  <c r="A144" i="3"/>
  <c r="A151" i="1"/>
  <c r="A144" i="5"/>
  <c r="C144" i="5" s="1"/>
  <c r="D144" i="5" s="1"/>
  <c r="A156" i="3"/>
  <c r="A163" i="1"/>
  <c r="A156" i="23" s="1"/>
  <c r="F156" i="23" s="1"/>
  <c r="A156" i="5"/>
  <c r="C156" i="5" s="1"/>
  <c r="A137" i="5"/>
  <c r="C137" i="5" s="1"/>
  <c r="D137" i="5" s="1"/>
  <c r="A144" i="1"/>
  <c r="A137" i="3"/>
  <c r="A33" i="3"/>
  <c r="A140" i="1"/>
  <c r="A133" i="3"/>
  <c r="A133" i="5"/>
  <c r="C133" i="5" s="1"/>
  <c r="A152" i="1"/>
  <c r="A145" i="3"/>
  <c r="A145" i="5"/>
  <c r="C145" i="5" s="1"/>
  <c r="D145" i="5" s="1"/>
  <c r="A164" i="1"/>
  <c r="A157" i="23" s="1"/>
  <c r="F157" i="23" s="1"/>
  <c r="A157" i="3"/>
  <c r="A157" i="5"/>
  <c r="C157" i="5" s="1"/>
  <c r="C2" i="5"/>
  <c r="D2" i="3" s="1"/>
  <c r="H132" i="3"/>
  <c r="H123" i="3"/>
  <c r="H142" i="3"/>
  <c r="A34" i="3"/>
  <c r="B34" i="2"/>
  <c r="A41" i="1"/>
  <c r="E34" i="2"/>
  <c r="D34" i="2" s="1"/>
  <c r="B23" i="2"/>
  <c r="A30" i="1"/>
  <c r="E23" i="2"/>
  <c r="D23" i="2" s="1"/>
  <c r="C23" i="3" s="1"/>
  <c r="B152" i="2"/>
  <c r="E152" i="2"/>
  <c r="D152" i="2" s="1"/>
  <c r="A89" i="3"/>
  <c r="E89" i="2"/>
  <c r="A96" i="1"/>
  <c r="B96" i="1" s="1"/>
  <c r="B89" i="2"/>
  <c r="A37" i="3"/>
  <c r="E37" i="2"/>
  <c r="A44" i="1"/>
  <c r="B37" i="2"/>
  <c r="A90" i="3"/>
  <c r="E90" i="2"/>
  <c r="D90" i="2" s="1"/>
  <c r="A97" i="1"/>
  <c r="B90" i="2"/>
  <c r="B11" i="2"/>
  <c r="A18" i="1"/>
  <c r="B18" i="1" s="1"/>
  <c r="E11" i="2"/>
  <c r="D11" i="2" s="1"/>
  <c r="C11" i="3" s="1"/>
  <c r="E21" i="2"/>
  <c r="D21" i="2" s="1"/>
  <c r="B21" i="2"/>
  <c r="A28" i="1"/>
  <c r="B33" i="2"/>
  <c r="A40" i="1"/>
  <c r="E33" i="2"/>
  <c r="D33" i="2" s="1"/>
  <c r="A45" i="3"/>
  <c r="E54" i="2"/>
  <c r="D54" i="2" s="1"/>
  <c r="B54" i="2"/>
  <c r="A61" i="1"/>
  <c r="B64" i="2"/>
  <c r="E64" i="2"/>
  <c r="D64" i="2" s="1"/>
  <c r="B64" i="5" s="1"/>
  <c r="A71" i="1"/>
  <c r="A82" i="1"/>
  <c r="B75" i="2"/>
  <c r="A87" i="3"/>
  <c r="E87" i="2"/>
  <c r="D87" i="2" s="1"/>
  <c r="A94" i="1"/>
  <c r="B87" i="2"/>
  <c r="A97" i="5"/>
  <c r="B97" i="2"/>
  <c r="E97" i="2"/>
  <c r="D97" i="2" s="1"/>
  <c r="A104" i="1"/>
  <c r="E108" i="2"/>
  <c r="D108" i="2" s="1"/>
  <c r="B108" i="5" s="1"/>
  <c r="A115" i="1"/>
  <c r="B108" i="2"/>
  <c r="E127" i="2"/>
  <c r="D127" i="2" s="1"/>
  <c r="B127" i="2"/>
  <c r="E139" i="2"/>
  <c r="D139" i="2" s="1"/>
  <c r="B139" i="2"/>
  <c r="E150" i="2"/>
  <c r="D150" i="2" s="1"/>
  <c r="B150" i="2"/>
  <c r="B119" i="2"/>
  <c r="A126" i="1"/>
  <c r="E119" i="2"/>
  <c r="D119" i="2" s="1"/>
  <c r="B128" i="2"/>
  <c r="E128" i="2"/>
  <c r="D128" i="2" s="1"/>
  <c r="B140" i="2"/>
  <c r="E140" i="2"/>
  <c r="D140" i="2" s="1"/>
  <c r="E151" i="2"/>
  <c r="D151" i="2" s="1"/>
  <c r="B151" i="2"/>
  <c r="A82" i="3"/>
  <c r="A89" i="1"/>
  <c r="E82" i="2"/>
  <c r="D82" i="2" s="1"/>
  <c r="B82" i="2"/>
  <c r="E98" i="2"/>
  <c r="D98" i="2" s="1"/>
  <c r="B98" i="2"/>
  <c r="A105" i="1"/>
  <c r="B107" i="2"/>
  <c r="E107" i="2"/>
  <c r="D107" i="2" s="1"/>
  <c r="A114" i="1"/>
  <c r="A46" i="3"/>
  <c r="E46" i="2"/>
  <c r="D46" i="2" s="1"/>
  <c r="A53" i="1"/>
  <c r="B46" i="2"/>
  <c r="B36" i="2"/>
  <c r="A43" i="1"/>
  <c r="E36" i="2"/>
  <c r="D36" i="2" s="1"/>
  <c r="A68" i="3"/>
  <c r="A75" i="1"/>
  <c r="E68" i="2"/>
  <c r="D68" i="2" s="1"/>
  <c r="B68" i="2"/>
  <c r="A119" i="5"/>
  <c r="C119" i="5" s="1"/>
  <c r="A9" i="1"/>
  <c r="E2" i="2"/>
  <c r="D2" i="2" s="1"/>
  <c r="C2" i="3" s="1"/>
  <c r="E5" i="2"/>
  <c r="D5" i="2" s="1"/>
  <c r="C5" i="3" s="1"/>
  <c r="A12" i="1"/>
  <c r="B5" i="2"/>
  <c r="E15" i="2"/>
  <c r="D15" i="2" s="1"/>
  <c r="C15" i="3" s="1"/>
  <c r="A22" i="1"/>
  <c r="B15" i="2"/>
  <c r="E26" i="2"/>
  <c r="A33" i="1"/>
  <c r="B26" i="2"/>
  <c r="E38" i="2"/>
  <c r="D38" i="2" s="1"/>
  <c r="B38" i="2"/>
  <c r="A45" i="1"/>
  <c r="E49" i="2"/>
  <c r="B49" i="2"/>
  <c r="A56" i="1"/>
  <c r="B58" i="2"/>
  <c r="A65" i="1"/>
  <c r="E58" i="2"/>
  <c r="D58" i="2" s="1"/>
  <c r="A80" i="3"/>
  <c r="B80" i="2"/>
  <c r="E80" i="2"/>
  <c r="D80" i="2" s="1"/>
  <c r="A87" i="1"/>
  <c r="A91" i="3"/>
  <c r="A98" i="1"/>
  <c r="B91" i="2"/>
  <c r="E91" i="2"/>
  <c r="D91" i="2" s="1"/>
  <c r="B100" i="2"/>
  <c r="E100" i="2"/>
  <c r="D100" i="2" s="1"/>
  <c r="A107" i="1"/>
  <c r="B122" i="2"/>
  <c r="E122" i="2"/>
  <c r="D122" i="2" s="1"/>
  <c r="E132" i="2"/>
  <c r="D132" i="2" s="1"/>
  <c r="B132" i="2"/>
  <c r="E144" i="2"/>
  <c r="D144" i="2" s="1"/>
  <c r="B144" i="2"/>
  <c r="E155" i="2"/>
  <c r="D155" i="2" s="1"/>
  <c r="B155" i="2"/>
  <c r="A62" i="1"/>
  <c r="B55" i="2"/>
  <c r="E55" i="2"/>
  <c r="D55" i="2" s="1"/>
  <c r="B35" i="2"/>
  <c r="E35" i="2"/>
  <c r="D35" i="2" s="1"/>
  <c r="A42" i="1"/>
  <c r="B120" i="2"/>
  <c r="A127" i="1"/>
  <c r="E120" i="2"/>
  <c r="D120" i="2" s="1"/>
  <c r="A111" i="5"/>
  <c r="C111" i="5" s="1"/>
  <c r="E111" i="2"/>
  <c r="D111" i="2" s="1"/>
  <c r="B111" i="2"/>
  <c r="A118" i="1"/>
  <c r="A32" i="1"/>
  <c r="E25" i="2"/>
  <c r="D25" i="2" s="1"/>
  <c r="C25" i="3" s="1"/>
  <c r="B25" i="2"/>
  <c r="A6" i="5"/>
  <c r="E6" i="2"/>
  <c r="D6" i="2" s="1"/>
  <c r="C6" i="3" s="1"/>
  <c r="B6" i="2"/>
  <c r="A13" i="1"/>
  <c r="A16" i="5"/>
  <c r="B16" i="2"/>
  <c r="E16" i="2"/>
  <c r="D16" i="2" s="1"/>
  <c r="C16" i="3" s="1"/>
  <c r="A23" i="1"/>
  <c r="E27" i="2"/>
  <c r="D27" i="2" s="1"/>
  <c r="C27" i="3" s="1"/>
  <c r="A34" i="1"/>
  <c r="B27" i="2"/>
  <c r="E39" i="2"/>
  <c r="D39" i="2" s="1"/>
  <c r="B39" i="2"/>
  <c r="A46" i="1"/>
  <c r="A50" i="3"/>
  <c r="E50" i="2"/>
  <c r="D50" i="2" s="1"/>
  <c r="A57" i="1"/>
  <c r="B50" i="2"/>
  <c r="B59" i="2"/>
  <c r="A66" i="1"/>
  <c r="E59" i="2"/>
  <c r="D59" i="2" s="1"/>
  <c r="A69" i="5"/>
  <c r="C69" i="5" s="1"/>
  <c r="A76" i="1"/>
  <c r="E69" i="2"/>
  <c r="D69" i="2" s="1"/>
  <c r="B69" i="2"/>
  <c r="B81" i="2"/>
  <c r="A88" i="1"/>
  <c r="E81" i="2"/>
  <c r="D81" i="2" s="1"/>
  <c r="A99" i="1"/>
  <c r="B92" i="2"/>
  <c r="E92" i="2"/>
  <c r="D92" i="2" s="1"/>
  <c r="E101" i="2"/>
  <c r="D101" i="2" s="1"/>
  <c r="A108" i="1"/>
  <c r="B101" i="2"/>
  <c r="A113" i="5"/>
  <c r="B113" i="2"/>
  <c r="E113" i="2"/>
  <c r="D113" i="2" s="1"/>
  <c r="A120" i="1"/>
  <c r="E123" i="2"/>
  <c r="D123" i="2" s="1"/>
  <c r="B123" i="2"/>
  <c r="E133" i="2"/>
  <c r="D133" i="2" s="1"/>
  <c r="B133" i="2"/>
  <c r="B145" i="2"/>
  <c r="E145" i="2"/>
  <c r="D145" i="2" s="1"/>
  <c r="B156" i="2"/>
  <c r="E156" i="2"/>
  <c r="D156" i="2" s="1"/>
  <c r="A19" i="1"/>
  <c r="B12" i="2"/>
  <c r="E12" i="2"/>
  <c r="D12" i="2" s="1"/>
  <c r="C12" i="3" s="1"/>
  <c r="B45" i="2"/>
  <c r="A52" i="1"/>
  <c r="E45" i="2"/>
  <c r="D45" i="2" s="1"/>
  <c r="A56" i="5"/>
  <c r="B56" i="2"/>
  <c r="A63" i="1"/>
  <c r="E56" i="2"/>
  <c r="D56" i="2" s="1"/>
  <c r="B129" i="2"/>
  <c r="E129" i="2"/>
  <c r="D129" i="2" s="1"/>
  <c r="A54" i="1"/>
  <c r="B54" i="1" s="1"/>
  <c r="E47" i="2"/>
  <c r="D47" i="2" s="1"/>
  <c r="B47" i="2"/>
  <c r="E78" i="2"/>
  <c r="D78" i="2" s="1"/>
  <c r="A85" i="1"/>
  <c r="B78" i="2"/>
  <c r="E130" i="2"/>
  <c r="D130" i="2" s="1"/>
  <c r="B130" i="2"/>
  <c r="A112" i="5"/>
  <c r="C112" i="5" s="1"/>
  <c r="E112" i="2"/>
  <c r="D112" i="2" s="1"/>
  <c r="A119" i="1"/>
  <c r="B112" i="2"/>
  <c r="E17" i="2"/>
  <c r="D17" i="2" s="1"/>
  <c r="C17" i="3" s="1"/>
  <c r="A24" i="1"/>
  <c r="B17" i="2"/>
  <c r="B28" i="2"/>
  <c r="E28" i="2"/>
  <c r="D28" i="2" s="1"/>
  <c r="C28" i="3" s="1"/>
  <c r="A35" i="1"/>
  <c r="A40" i="3"/>
  <c r="B40" i="2"/>
  <c r="E40" i="2"/>
  <c r="D40" i="2" s="1"/>
  <c r="A47" i="1"/>
  <c r="A40" i="23" s="1"/>
  <c r="E51" i="2"/>
  <c r="D51" i="2" s="1"/>
  <c r="A58" i="1"/>
  <c r="B51" i="2"/>
  <c r="A70" i="5"/>
  <c r="A77" i="1"/>
  <c r="E70" i="2"/>
  <c r="D70" i="2" s="1"/>
  <c r="B70" i="2"/>
  <c r="A83" i="5"/>
  <c r="C83" i="5" s="1"/>
  <c r="B83" i="2"/>
  <c r="A90" i="1"/>
  <c r="E83" i="2"/>
  <c r="D83" i="2" s="1"/>
  <c r="A114" i="5"/>
  <c r="E114" i="2"/>
  <c r="D114" i="2" s="1"/>
  <c r="A121" i="1"/>
  <c r="B114" i="2"/>
  <c r="E124" i="2"/>
  <c r="D124" i="2" s="1"/>
  <c r="B124" i="2"/>
  <c r="B134" i="2"/>
  <c r="E134" i="2"/>
  <c r="D134" i="2" s="1"/>
  <c r="B146" i="2"/>
  <c r="E146" i="2"/>
  <c r="D146" i="2" s="1"/>
  <c r="B157" i="2"/>
  <c r="E157" i="2"/>
  <c r="D157" i="2" s="1"/>
  <c r="B13" i="2"/>
  <c r="A20" i="1"/>
  <c r="E13" i="2"/>
  <c r="D13" i="2" s="1"/>
  <c r="C13" i="3" s="1"/>
  <c r="A110" i="3"/>
  <c r="A117" i="1"/>
  <c r="E110" i="2"/>
  <c r="D110" i="2" s="1"/>
  <c r="B110" i="2"/>
  <c r="E3" i="2"/>
  <c r="D3" i="2" s="1"/>
  <c r="C3" i="3" s="1"/>
  <c r="A10" i="1"/>
  <c r="B3" i="2"/>
  <c r="A31" i="1"/>
  <c r="E24" i="2"/>
  <c r="D24" i="2" s="1"/>
  <c r="C24" i="3" s="1"/>
  <c r="B24" i="2"/>
  <c r="A67" i="3"/>
  <c r="A74" i="1"/>
  <c r="B67" i="2"/>
  <c r="E67" i="2"/>
  <c r="D67" i="2" s="1"/>
  <c r="A121" i="5"/>
  <c r="C121" i="5" s="1"/>
  <c r="B121" i="2"/>
  <c r="E121" i="2"/>
  <c r="D121" i="2" s="1"/>
  <c r="A128" i="1"/>
  <c r="A79" i="3"/>
  <c r="A86" i="1"/>
  <c r="B79" i="2"/>
  <c r="E79" i="2"/>
  <c r="D79" i="2" s="1"/>
  <c r="A7" i="5"/>
  <c r="A14" i="1"/>
  <c r="B7" i="2"/>
  <c r="E7" i="2"/>
  <c r="D7" i="2" s="1"/>
  <c r="C7" i="3" s="1"/>
  <c r="E29" i="2"/>
  <c r="D29" i="2" s="1"/>
  <c r="C29" i="3" s="1"/>
  <c r="A36" i="1"/>
  <c r="B29" i="2"/>
  <c r="A71" i="3"/>
  <c r="E71" i="2"/>
  <c r="D71" i="2" s="1"/>
  <c r="B71" i="2"/>
  <c r="A78" i="1"/>
  <c r="E102" i="2"/>
  <c r="D102" i="2" s="1"/>
  <c r="A109" i="1"/>
  <c r="B102" i="2"/>
  <c r="E115" i="2"/>
  <c r="D115" i="2" s="1"/>
  <c r="B115" i="2"/>
  <c r="A122" i="1"/>
  <c r="B22" i="2"/>
  <c r="A29" i="1"/>
  <c r="E22" i="2"/>
  <c r="D22" i="2" s="1"/>
  <c r="C22" i="3" s="1"/>
  <c r="A65" i="5"/>
  <c r="C65" i="5" s="1"/>
  <c r="E65" i="2"/>
  <c r="D65" i="2" s="1"/>
  <c r="A72" i="1"/>
  <c r="B65" i="2"/>
  <c r="A66" i="5"/>
  <c r="C66" i="5" s="1"/>
  <c r="E66" i="2"/>
  <c r="D66" i="2" s="1"/>
  <c r="A73" i="1"/>
  <c r="B66" i="2"/>
  <c r="B141" i="2"/>
  <c r="E141" i="2"/>
  <c r="D141" i="2" s="1"/>
  <c r="A14" i="5"/>
  <c r="E14" i="2"/>
  <c r="D14" i="2" s="1"/>
  <c r="C14" i="3" s="1"/>
  <c r="B14" i="2"/>
  <c r="A21" i="1"/>
  <c r="B57" i="2"/>
  <c r="E57" i="2"/>
  <c r="D57" i="2" s="1"/>
  <c r="A64" i="1"/>
  <c r="E131" i="2"/>
  <c r="D131" i="2" s="1"/>
  <c r="B131" i="2"/>
  <c r="E41" i="2"/>
  <c r="D41" i="2" s="1"/>
  <c r="A48" i="1"/>
  <c r="B41" i="2"/>
  <c r="A108" i="3"/>
  <c r="A15" i="1"/>
  <c r="E8" i="2"/>
  <c r="D8" i="2" s="1"/>
  <c r="C8" i="3" s="1"/>
  <c r="B8" i="2"/>
  <c r="A18" i="5"/>
  <c r="E18" i="2"/>
  <c r="D18" i="2" s="1"/>
  <c r="C18" i="3" s="1"/>
  <c r="A25" i="1"/>
  <c r="B18" i="2"/>
  <c r="E30" i="2"/>
  <c r="B30" i="2"/>
  <c r="A37" i="1"/>
  <c r="A42" i="5"/>
  <c r="E42" i="2"/>
  <c r="A49" i="1"/>
  <c r="B42" i="2"/>
  <c r="A52" i="5"/>
  <c r="B52" i="2"/>
  <c r="E52" i="2"/>
  <c r="D52" i="2" s="1"/>
  <c r="A59" i="1"/>
  <c r="A61" i="3"/>
  <c r="B61" i="2"/>
  <c r="A68" i="1"/>
  <c r="A72" i="3"/>
  <c r="A79" i="1"/>
  <c r="B72" i="2"/>
  <c r="E72" i="2"/>
  <c r="D72" i="2" s="1"/>
  <c r="A85" i="5"/>
  <c r="E85" i="2"/>
  <c r="A92" i="1"/>
  <c r="B85" i="2"/>
  <c r="A101" i="1"/>
  <c r="B94" i="2"/>
  <c r="E94" i="2"/>
  <c r="D94" i="2" s="1"/>
  <c r="A104" i="5"/>
  <c r="C104" i="5" s="1"/>
  <c r="A111" i="1"/>
  <c r="E104" i="2"/>
  <c r="D104" i="2" s="1"/>
  <c r="A123" i="1"/>
  <c r="B116" i="2"/>
  <c r="E116" i="2"/>
  <c r="D116" i="2" s="1"/>
  <c r="E136" i="2"/>
  <c r="D136" i="2" s="1"/>
  <c r="B136" i="2"/>
  <c r="E147" i="2"/>
  <c r="D147" i="2" s="1"/>
  <c r="B147" i="2"/>
  <c r="E158" i="2"/>
  <c r="D158" i="2" s="1"/>
  <c r="B158" i="2"/>
  <c r="E76" i="2"/>
  <c r="D76" i="2" s="1"/>
  <c r="A83" i="1"/>
  <c r="B76" i="2"/>
  <c r="B88" i="2"/>
  <c r="E88" i="2"/>
  <c r="D88" i="2" s="1"/>
  <c r="A95" i="1"/>
  <c r="B142" i="2"/>
  <c r="E142" i="2"/>
  <c r="D142" i="2" s="1"/>
  <c r="A55" i="1"/>
  <c r="E48" i="2"/>
  <c r="D48" i="2" s="1"/>
  <c r="B48" i="2"/>
  <c r="E99" i="2"/>
  <c r="A106" i="1"/>
  <c r="B99" i="2"/>
  <c r="B143" i="2"/>
  <c r="E143" i="2"/>
  <c r="D143" i="2" s="1"/>
  <c r="A60" i="5"/>
  <c r="A67" i="1"/>
  <c r="B60" i="2"/>
  <c r="E60" i="2"/>
  <c r="D60" i="2" s="1"/>
  <c r="A93" i="5"/>
  <c r="E93" i="2"/>
  <c r="D93" i="2" s="1"/>
  <c r="B93" i="2"/>
  <c r="A100" i="1"/>
  <c r="B125" i="2"/>
  <c r="E125" i="2"/>
  <c r="D125" i="2" s="1"/>
  <c r="A39" i="3"/>
  <c r="A66" i="3"/>
  <c r="A92" i="5"/>
  <c r="A89" i="5"/>
  <c r="A16" i="1"/>
  <c r="E9" i="2"/>
  <c r="D9" i="2" s="1"/>
  <c r="C9" i="3" s="1"/>
  <c r="B9" i="2"/>
  <c r="A26" i="1"/>
  <c r="B19" i="2"/>
  <c r="E19" i="2"/>
  <c r="D19" i="2" s="1"/>
  <c r="C19" i="3" s="1"/>
  <c r="A38" i="1"/>
  <c r="B31" i="2"/>
  <c r="E31" i="2"/>
  <c r="D31" i="2" s="1"/>
  <c r="C31" i="3" s="1"/>
  <c r="A43" i="3"/>
  <c r="A50" i="1"/>
  <c r="B43" i="2"/>
  <c r="E43" i="2"/>
  <c r="D43" i="2" s="1"/>
  <c r="E53" i="2"/>
  <c r="D53" i="2" s="1"/>
  <c r="A60" i="1"/>
  <c r="B53" i="2"/>
  <c r="A62" i="3"/>
  <c r="E62" i="2"/>
  <c r="D62" i="2" s="1"/>
  <c r="B62" i="2"/>
  <c r="A69" i="1"/>
  <c r="A73" i="3"/>
  <c r="A80" i="1"/>
  <c r="B73" i="2"/>
  <c r="E73" i="2"/>
  <c r="D73" i="2" s="1"/>
  <c r="B95" i="2"/>
  <c r="A102" i="1"/>
  <c r="E95" i="2"/>
  <c r="D95" i="2" s="1"/>
  <c r="A105" i="5"/>
  <c r="C105" i="5" s="1"/>
  <c r="B105" i="2"/>
  <c r="E105" i="2"/>
  <c r="D105" i="2" s="1"/>
  <c r="A112" i="1"/>
  <c r="B117" i="2"/>
  <c r="A124" i="1"/>
  <c r="E117" i="2"/>
  <c r="D117" i="2" s="1"/>
  <c r="E126" i="2"/>
  <c r="D126" i="2" s="1"/>
  <c r="B126" i="2"/>
  <c r="B137" i="2"/>
  <c r="E137" i="2"/>
  <c r="D137" i="2" s="1"/>
  <c r="E148" i="2"/>
  <c r="D148" i="2" s="1"/>
  <c r="B148" i="2"/>
  <c r="A109" i="5"/>
  <c r="C109" i="5" s="1"/>
  <c r="A116" i="1"/>
  <c r="E109" i="2"/>
  <c r="D109" i="2" s="1"/>
  <c r="B109" i="2"/>
  <c r="E77" i="2"/>
  <c r="D77" i="2" s="1"/>
  <c r="A84" i="1"/>
  <c r="B77" i="2"/>
  <c r="A154" i="9"/>
  <c r="E153" i="2"/>
  <c r="D153" i="2" s="1"/>
  <c r="B153" i="2"/>
  <c r="A23" i="5"/>
  <c r="B4" i="2"/>
  <c r="E4" i="2"/>
  <c r="D4" i="2" s="1"/>
  <c r="C4" i="3" s="1"/>
  <c r="A11" i="1"/>
  <c r="E154" i="2"/>
  <c r="D154" i="2" s="1"/>
  <c r="B154" i="2"/>
  <c r="A88" i="5"/>
  <c r="A79" i="5"/>
  <c r="C79" i="5" s="1"/>
  <c r="B84" i="2"/>
  <c r="A91" i="1"/>
  <c r="E84" i="2"/>
  <c r="D84" i="2" s="1"/>
  <c r="E135" i="2"/>
  <c r="D135" i="2" s="1"/>
  <c r="B135" i="2"/>
  <c r="A5" i="5"/>
  <c r="C5" i="5" s="1"/>
  <c r="A98" i="3"/>
  <c r="A68" i="5"/>
  <c r="C68" i="5" s="1"/>
  <c r="E10" i="2"/>
  <c r="D10" i="2" s="1"/>
  <c r="C10" i="3" s="1"/>
  <c r="B10" i="2"/>
  <c r="A17" i="1"/>
  <c r="A27" i="1"/>
  <c r="B20" i="2"/>
  <c r="E20" i="2"/>
  <c r="D20" i="2" s="1"/>
  <c r="C20" i="3" s="1"/>
  <c r="A32" i="5"/>
  <c r="C32" i="5" s="1"/>
  <c r="E32" i="2"/>
  <c r="D32" i="2" s="1"/>
  <c r="B32" i="2"/>
  <c r="A39" i="1"/>
  <c r="A44" i="5"/>
  <c r="C44" i="5" s="1"/>
  <c r="A51" i="1"/>
  <c r="E44" i="2"/>
  <c r="D44" i="2" s="1"/>
  <c r="B44" i="2"/>
  <c r="A54" i="3"/>
  <c r="A63" i="3"/>
  <c r="E63" i="2"/>
  <c r="D63" i="2" s="1"/>
  <c r="B63" i="2"/>
  <c r="A70" i="1"/>
  <c r="A74" i="5"/>
  <c r="C74" i="5" s="1"/>
  <c r="E74" i="2"/>
  <c r="D74" i="2" s="1"/>
  <c r="B74" i="2"/>
  <c r="A81" i="1"/>
  <c r="E86" i="2"/>
  <c r="D86" i="2" s="1"/>
  <c r="A93" i="1"/>
  <c r="B86" i="2"/>
  <c r="A96" i="5"/>
  <c r="B96" i="2"/>
  <c r="E96" i="2"/>
  <c r="D96" i="2" s="1"/>
  <c r="A103" i="1"/>
  <c r="E106" i="2"/>
  <c r="D106" i="2" s="1"/>
  <c r="B106" i="2"/>
  <c r="A113" i="1"/>
  <c r="A118" i="3"/>
  <c r="B118" i="2"/>
  <c r="A125" i="1"/>
  <c r="E118" i="2"/>
  <c r="D118" i="2" s="1"/>
  <c r="A139" i="23"/>
  <c r="B139" i="23" s="1"/>
  <c r="E138" i="2"/>
  <c r="D138" i="2" s="1"/>
  <c r="B138" i="2"/>
  <c r="B149" i="2"/>
  <c r="E149" i="2"/>
  <c r="D149" i="2" s="1"/>
  <c r="B88" i="1"/>
  <c r="B66" i="1"/>
  <c r="B155" i="1"/>
  <c r="A59" i="23"/>
  <c r="B59" i="23" s="1"/>
  <c r="A75" i="23"/>
  <c r="B75" i="23" s="1"/>
  <c r="I161" i="10"/>
  <c r="K161" i="10" s="1"/>
  <c r="I146" i="10"/>
  <c r="K146" i="10" s="1"/>
  <c r="I151" i="10"/>
  <c r="L151" i="10" s="1"/>
  <c r="I155" i="10"/>
  <c r="K155" i="10" s="1"/>
  <c r="I165" i="10"/>
  <c r="J165" i="10" s="1"/>
  <c r="I65" i="10"/>
  <c r="L65" i="10" s="1"/>
  <c r="F174" i="10"/>
  <c r="A29" i="5"/>
  <c r="C29" i="5" s="1"/>
  <c r="D29" i="3" s="1"/>
  <c r="A114" i="3"/>
  <c r="A110" i="5"/>
  <c r="C110" i="5" s="1"/>
  <c r="A109" i="3"/>
  <c r="A84" i="3"/>
  <c r="A64" i="3"/>
  <c r="A85" i="3"/>
  <c r="A15" i="5"/>
  <c r="A22" i="5"/>
  <c r="A41" i="5"/>
  <c r="A49" i="3"/>
  <c r="A4" i="5"/>
  <c r="A24" i="5"/>
  <c r="C24" i="5" s="1"/>
  <c r="A100" i="3"/>
  <c r="C100" i="3" s="1"/>
  <c r="A63" i="5"/>
  <c r="C63" i="5" s="1"/>
  <c r="A9" i="5"/>
  <c r="C9" i="5" s="1"/>
  <c r="A92" i="3"/>
  <c r="A102" i="3"/>
  <c r="A120" i="3"/>
  <c r="A48" i="3"/>
  <c r="A20" i="5"/>
  <c r="A59" i="3"/>
  <c r="A41" i="3"/>
  <c r="A105" i="3"/>
  <c r="A47" i="5"/>
  <c r="C47" i="5" s="1"/>
  <c r="A78" i="5"/>
  <c r="C78" i="5" s="1"/>
  <c r="A59" i="5"/>
  <c r="C59" i="5" s="1"/>
  <c r="A11" i="5"/>
  <c r="A44" i="3"/>
  <c r="A112" i="3"/>
  <c r="A55" i="5"/>
  <c r="A47" i="3"/>
  <c r="A38" i="5"/>
  <c r="C38" i="5" s="1"/>
  <c r="A75" i="5"/>
  <c r="A94" i="5"/>
  <c r="A95" i="3"/>
  <c r="A75" i="3"/>
  <c r="A30" i="5"/>
  <c r="A31" i="5"/>
  <c r="A46" i="5"/>
  <c r="A37" i="5"/>
  <c r="A93" i="3"/>
  <c r="A38" i="3"/>
  <c r="A106" i="3"/>
  <c r="A95" i="5"/>
  <c r="C95" i="5" s="1"/>
  <c r="A67" i="5"/>
  <c r="C67" i="5" s="1"/>
  <c r="A55" i="3"/>
  <c r="A80" i="5"/>
  <c r="C80" i="5" s="1"/>
  <c r="I154" i="10"/>
  <c r="K154" i="10" s="1"/>
  <c r="I153" i="10"/>
  <c r="M153" i="10" s="1"/>
  <c r="I149" i="10"/>
  <c r="L149" i="10" s="1"/>
  <c r="I162" i="10"/>
  <c r="K162" i="10" s="1"/>
  <c r="I147" i="10"/>
  <c r="L147" i="10" s="1"/>
  <c r="F179" i="10"/>
  <c r="I150" i="10"/>
  <c r="I152" i="10"/>
  <c r="I164" i="10"/>
  <c r="L164" i="10" s="1"/>
  <c r="I156" i="10"/>
  <c r="J156" i="10" s="1"/>
  <c r="I145" i="10"/>
  <c r="J145" i="10" s="1"/>
  <c r="I158" i="10"/>
  <c r="I59" i="10"/>
  <c r="M59" i="10" s="1"/>
  <c r="I60" i="10"/>
  <c r="M60" i="10" s="1"/>
  <c r="I58" i="10"/>
  <c r="M58" i="10" s="1"/>
  <c r="I51" i="10"/>
  <c r="K51" i="10" s="1"/>
  <c r="I39" i="10"/>
  <c r="L39" i="10" s="1"/>
  <c r="I45" i="10"/>
  <c r="J45" i="10" s="1"/>
  <c r="I41" i="10"/>
  <c r="L41" i="10" s="1"/>
  <c r="I44" i="10"/>
  <c r="I56" i="10"/>
  <c r="M56" i="10" s="1"/>
  <c r="I42" i="10"/>
  <c r="K42" i="10" s="1"/>
  <c r="I34" i="10"/>
  <c r="I53" i="10"/>
  <c r="K53" i="10" s="1"/>
  <c r="I47" i="10"/>
  <c r="L47" i="10" s="1"/>
  <c r="I50" i="10"/>
  <c r="M50" i="10" s="1"/>
  <c r="I48" i="10"/>
  <c r="I54" i="10"/>
  <c r="M54" i="10" s="1"/>
  <c r="I52" i="10"/>
  <c r="K52" i="10" s="1"/>
  <c r="I55" i="10"/>
  <c r="J55" i="10" s="1"/>
  <c r="I40" i="10"/>
  <c r="I35" i="10"/>
  <c r="K35" i="10" s="1"/>
  <c r="I36" i="10"/>
  <c r="M36" i="10" s="1"/>
  <c r="F172" i="10"/>
  <c r="I38" i="10"/>
  <c r="J38" i="10" s="1"/>
  <c r="I46" i="10"/>
  <c r="K46" i="10" s="1"/>
  <c r="I37" i="10"/>
  <c r="J37" i="10" s="1"/>
  <c r="I49" i="10"/>
  <c r="A54" i="23"/>
  <c r="B54" i="23" s="1"/>
  <c r="A134" i="23"/>
  <c r="B134" i="23" s="1"/>
  <c r="B170" i="1"/>
  <c r="A74" i="3"/>
  <c r="A106" i="5"/>
  <c r="C106" i="5" s="1"/>
  <c r="A120" i="5"/>
  <c r="A65" i="3"/>
  <c r="A50" i="5"/>
  <c r="C50" i="5" s="1"/>
  <c r="A3" i="5"/>
  <c r="G110" i="1" s="1"/>
  <c r="I110" i="1" s="1"/>
  <c r="H110" i="1" s="1"/>
  <c r="A35" i="5"/>
  <c r="A97" i="3"/>
  <c r="A17" i="5"/>
  <c r="C17" i="5" s="1"/>
  <c r="A26" i="5"/>
  <c r="A58" i="3"/>
  <c r="A64" i="23"/>
  <c r="B64" i="23" s="1"/>
  <c r="A73" i="5"/>
  <c r="A51" i="5"/>
  <c r="C51" i="5" s="1"/>
  <c r="A8" i="5"/>
  <c r="A10" i="5"/>
  <c r="C10" i="5" s="1"/>
  <c r="D10" i="3" s="1"/>
  <c r="A83" i="3"/>
  <c r="A35" i="3"/>
  <c r="A27" i="5"/>
  <c r="A91" i="5"/>
  <c r="A34" i="5"/>
  <c r="C34" i="5" s="1"/>
  <c r="A90" i="5"/>
  <c r="C90" i="5" s="1"/>
  <c r="A52" i="3"/>
  <c r="A113" i="3"/>
  <c r="A32" i="3"/>
  <c r="A36" i="3"/>
  <c r="A28" i="5"/>
  <c r="C28" i="5" s="1"/>
  <c r="D28" i="3" s="1"/>
  <c r="A72" i="5"/>
  <c r="C72" i="5" s="1"/>
  <c r="A58" i="5"/>
  <c r="A82" i="5"/>
  <c r="M62" i="10"/>
  <c r="K62" i="10"/>
  <c r="L62" i="10"/>
  <c r="J62" i="10"/>
  <c r="I134" i="10"/>
  <c r="I73" i="10"/>
  <c r="I85" i="10"/>
  <c r="M85" i="10" s="1"/>
  <c r="I128" i="10"/>
  <c r="I69" i="10"/>
  <c r="I88" i="10"/>
  <c r="L88" i="10" s="1"/>
  <c r="I127" i="10"/>
  <c r="L127" i="10" s="1"/>
  <c r="I74" i="10"/>
  <c r="I95" i="10"/>
  <c r="L95" i="10" s="1"/>
  <c r="J164" i="10"/>
  <c r="J148" i="10"/>
  <c r="I136" i="10"/>
  <c r="I68" i="10"/>
  <c r="M94" i="10"/>
  <c r="I87" i="10"/>
  <c r="J87" i="10" s="1"/>
  <c r="K124" i="10"/>
  <c r="I70" i="10"/>
  <c r="I66" i="10"/>
  <c r="M66" i="10" s="1"/>
  <c r="I114" i="10"/>
  <c r="K114" i="10" s="1"/>
  <c r="I102" i="10"/>
  <c r="I113" i="10"/>
  <c r="I101" i="10"/>
  <c r="I112" i="10"/>
  <c r="I100" i="10"/>
  <c r="I104" i="10"/>
  <c r="I122" i="10"/>
  <c r="I111" i="10"/>
  <c r="M111" i="10" s="1"/>
  <c r="I99" i="10"/>
  <c r="K99" i="10" s="1"/>
  <c r="I107" i="10"/>
  <c r="M107" i="10" s="1"/>
  <c r="I121" i="10"/>
  <c r="K121" i="10" s="1"/>
  <c r="I110" i="10"/>
  <c r="K110" i="10" s="1"/>
  <c r="I98" i="10"/>
  <c r="M98" i="10" s="1"/>
  <c r="I120" i="10"/>
  <c r="I109" i="10"/>
  <c r="I97" i="10"/>
  <c r="I119" i="10"/>
  <c r="L119" i="10" s="1"/>
  <c r="I108" i="10"/>
  <c r="I118" i="10"/>
  <c r="I103" i="10"/>
  <c r="J103" i="10" s="1"/>
  <c r="I117" i="10"/>
  <c r="I106" i="10"/>
  <c r="I105" i="10"/>
  <c r="I116" i="10"/>
  <c r="I115" i="10"/>
  <c r="L124" i="10"/>
  <c r="I71" i="10"/>
  <c r="J124" i="10"/>
  <c r="I64" i="10"/>
  <c r="L64" i="10" s="1"/>
  <c r="I75" i="10"/>
  <c r="M75" i="10" s="1"/>
  <c r="I89" i="10"/>
  <c r="M89" i="10" s="1"/>
  <c r="I125" i="10"/>
  <c r="M125" i="10" s="1"/>
  <c r="I63" i="10"/>
  <c r="M63" i="10" s="1"/>
  <c r="I81" i="10"/>
  <c r="I130" i="10"/>
  <c r="J141" i="10"/>
  <c r="L141" i="10"/>
  <c r="K141" i="10"/>
  <c r="M141" i="10"/>
  <c r="I144" i="10"/>
  <c r="L144" i="10" s="1"/>
  <c r="I160" i="10"/>
  <c r="I138" i="10"/>
  <c r="I139" i="10"/>
  <c r="J135" i="10"/>
  <c r="J94" i="10"/>
  <c r="I86" i="10"/>
  <c r="K94" i="10"/>
  <c r="I92" i="10"/>
  <c r="I84" i="10"/>
  <c r="I91" i="10"/>
  <c r="I78" i="10"/>
  <c r="I83" i="10"/>
  <c r="J83" i="10" s="1"/>
  <c r="I82" i="10"/>
  <c r="L82" i="10" s="1"/>
  <c r="I80" i="10"/>
  <c r="J80" i="10" s="1"/>
  <c r="I79" i="10"/>
  <c r="M79" i="10" s="1"/>
  <c r="I77" i="10"/>
  <c r="I93" i="10"/>
  <c r="L45" i="10"/>
  <c r="K55" i="10"/>
  <c r="K43" i="10"/>
  <c r="L43" i="10"/>
  <c r="J43" i="10"/>
  <c r="I83" i="25"/>
  <c r="I84" i="25"/>
  <c r="B5" i="17"/>
  <c r="B4" i="17"/>
  <c r="C7" i="26"/>
  <c r="D6" i="26"/>
  <c r="D4" i="26"/>
  <c r="D5" i="26"/>
  <c r="D3" i="26"/>
  <c r="M132" i="10"/>
  <c r="C86" i="5"/>
  <c r="A42" i="3"/>
  <c r="A76" i="3"/>
  <c r="A76" i="5"/>
  <c r="A99" i="5"/>
  <c r="A99" i="3"/>
  <c r="A116" i="5"/>
  <c r="A121" i="3"/>
  <c r="A19" i="5"/>
  <c r="A100" i="5"/>
  <c r="C100" i="5" s="1"/>
  <c r="A13" i="5"/>
  <c r="C13" i="5" s="1"/>
  <c r="A12" i="5"/>
  <c r="A148" i="23"/>
  <c r="B148" i="23" s="1"/>
  <c r="A115" i="3"/>
  <c r="A115" i="5"/>
  <c r="C115" i="5" s="1"/>
  <c r="A53" i="3"/>
  <c r="A53" i="5"/>
  <c r="A101" i="3"/>
  <c r="A48" i="5"/>
  <c r="A104" i="3"/>
  <c r="I159" i="10"/>
  <c r="I163" i="10"/>
  <c r="I157" i="10"/>
  <c r="I143" i="10"/>
  <c r="I166" i="10"/>
  <c r="A71" i="5"/>
  <c r="A77" i="3"/>
  <c r="A102" i="5"/>
  <c r="A56" i="3"/>
  <c r="A51" i="3"/>
  <c r="A78" i="3"/>
  <c r="A107" i="3"/>
  <c r="C107" i="3" s="1"/>
  <c r="A96" i="3"/>
  <c r="F175" i="10"/>
  <c r="I142" i="10"/>
  <c r="I90" i="10"/>
  <c r="D2" i="26"/>
  <c r="B2" i="24"/>
  <c r="B3" i="24"/>
  <c r="B47" i="1" l="1"/>
  <c r="F64" i="23"/>
  <c r="K164" i="10"/>
  <c r="L132" i="10"/>
  <c r="K132" i="10"/>
  <c r="M67" i="10"/>
  <c r="K67" i="10"/>
  <c r="L67" i="10"/>
  <c r="C8" i="25"/>
  <c r="C5" i="25"/>
  <c r="D69" i="5"/>
  <c r="D154" i="5"/>
  <c r="D86" i="5"/>
  <c r="G93" i="1" s="1"/>
  <c r="D105" i="5"/>
  <c r="G112" i="1" s="1"/>
  <c r="D112" i="5"/>
  <c r="G119" i="1" s="1"/>
  <c r="D59" i="5"/>
  <c r="G66" i="1" s="1"/>
  <c r="D32" i="5"/>
  <c r="G39" i="1" s="1"/>
  <c r="D150" i="5"/>
  <c r="G157" i="1" s="1"/>
  <c r="I157" i="1" s="1"/>
  <c r="H157" i="1" s="1"/>
  <c r="D95" i="5"/>
  <c r="G102" i="1" s="1"/>
  <c r="D38" i="5"/>
  <c r="G45" i="1" s="1"/>
  <c r="D51" i="5"/>
  <c r="G58" i="1" s="1"/>
  <c r="D110" i="5"/>
  <c r="G117" i="1" s="1"/>
  <c r="D34" i="5"/>
  <c r="G41" i="1" s="1"/>
  <c r="D78" i="5"/>
  <c r="G85" i="1" s="1"/>
  <c r="D65" i="5"/>
  <c r="G72" i="1" s="1"/>
  <c r="D100" i="5"/>
  <c r="G107" i="1" s="1"/>
  <c r="D80" i="5"/>
  <c r="G87" i="1" s="1"/>
  <c r="D9" i="5"/>
  <c r="G16" i="1" s="1"/>
  <c r="D9" i="3"/>
  <c r="D124" i="5"/>
  <c r="G131" i="1" s="1"/>
  <c r="D79" i="5"/>
  <c r="G86" i="1" s="1"/>
  <c r="D132" i="5"/>
  <c r="G139" i="1" s="1"/>
  <c r="D17" i="5"/>
  <c r="G24" i="1" s="1"/>
  <c r="D17" i="3"/>
  <c r="D5" i="5"/>
  <c r="G12" i="1" s="1"/>
  <c r="D5" i="3"/>
  <c r="D115" i="5"/>
  <c r="G122" i="1" s="1"/>
  <c r="D13" i="5"/>
  <c r="G20" i="1" s="1"/>
  <c r="D13" i="3"/>
  <c r="D24" i="5"/>
  <c r="G31" i="1" s="1"/>
  <c r="D24" i="3"/>
  <c r="D106" i="5"/>
  <c r="G113" i="1" s="1"/>
  <c r="D49" i="2"/>
  <c r="F24" i="25" s="1"/>
  <c r="L126" i="10"/>
  <c r="L129" i="10"/>
  <c r="J126" i="10"/>
  <c r="M129" i="10"/>
  <c r="M126" i="10"/>
  <c r="J129" i="10"/>
  <c r="M72" i="10"/>
  <c r="L72" i="10"/>
  <c r="K72" i="10"/>
  <c r="C113" i="3"/>
  <c r="B21" i="5"/>
  <c r="C21" i="3"/>
  <c r="C59" i="3"/>
  <c r="B40" i="23"/>
  <c r="F40" i="23"/>
  <c r="F138" i="23"/>
  <c r="F148" i="23"/>
  <c r="F139" i="23"/>
  <c r="F59" i="23"/>
  <c r="B156" i="23"/>
  <c r="A11" i="23"/>
  <c r="A89" i="23"/>
  <c r="F54" i="23"/>
  <c r="F75" i="23"/>
  <c r="F134" i="23"/>
  <c r="M148" i="10"/>
  <c r="M151" i="10"/>
  <c r="M147" i="10"/>
  <c r="L161" i="10"/>
  <c r="L148" i="10"/>
  <c r="K58" i="10"/>
  <c r="J58" i="10"/>
  <c r="D123" i="5"/>
  <c r="G130" i="1" s="1"/>
  <c r="D43" i="5"/>
  <c r="G50" i="1" s="1"/>
  <c r="D47" i="5"/>
  <c r="G54" i="1" s="1"/>
  <c r="D63" i="5"/>
  <c r="G70" i="1" s="1"/>
  <c r="D90" i="5"/>
  <c r="G97" i="1" s="1"/>
  <c r="D67" i="5"/>
  <c r="G74" i="1" s="1"/>
  <c r="D66" i="5"/>
  <c r="G73" i="1" s="1"/>
  <c r="D133" i="5"/>
  <c r="G140" i="1" s="1"/>
  <c r="D138" i="5"/>
  <c r="G145" i="1" s="1"/>
  <c r="D125" i="5"/>
  <c r="G132" i="1" s="1"/>
  <c r="D153" i="5"/>
  <c r="G160" i="1" s="1"/>
  <c r="D64" i="5"/>
  <c r="G71" i="1" s="1"/>
  <c r="D152" i="5"/>
  <c r="G159" i="1" s="1"/>
  <c r="D72" i="5"/>
  <c r="G79" i="1" s="1"/>
  <c r="D29" i="5"/>
  <c r="G36" i="1" s="1"/>
  <c r="D2" i="5"/>
  <c r="G9" i="1" s="1"/>
  <c r="D122" i="5"/>
  <c r="G129" i="1" s="1"/>
  <c r="D77" i="5"/>
  <c r="G84" i="1" s="1"/>
  <c r="D54" i="5"/>
  <c r="G61" i="1" s="1"/>
  <c r="D28" i="5"/>
  <c r="G35" i="1" s="1"/>
  <c r="D10" i="5"/>
  <c r="G17" i="1" s="1"/>
  <c r="D44" i="5"/>
  <c r="G51" i="1" s="1"/>
  <c r="D68" i="5"/>
  <c r="G75" i="1" s="1"/>
  <c r="D157" i="5"/>
  <c r="G164" i="1" s="1"/>
  <c r="D50" i="5"/>
  <c r="G57" i="1" s="1"/>
  <c r="D104" i="5"/>
  <c r="G111" i="1" s="1"/>
  <c r="D83" i="5"/>
  <c r="G90" i="1" s="1"/>
  <c r="D111" i="5"/>
  <c r="G118" i="1" s="1"/>
  <c r="D156" i="5"/>
  <c r="G163" i="1" s="1"/>
  <c r="D143" i="5"/>
  <c r="G150" i="1" s="1"/>
  <c r="D158" i="5"/>
  <c r="G165" i="1" s="1"/>
  <c r="D74" i="5"/>
  <c r="G81" i="1" s="1"/>
  <c r="D109" i="5"/>
  <c r="G116" i="1" s="1"/>
  <c r="D121" i="5"/>
  <c r="G128" i="1" s="1"/>
  <c r="D119" i="5"/>
  <c r="G126" i="1" s="1"/>
  <c r="D129" i="5"/>
  <c r="G136" i="1" s="1"/>
  <c r="D84" i="5"/>
  <c r="G91" i="1" s="1"/>
  <c r="I91" i="1" s="1"/>
  <c r="H91" i="1" s="1"/>
  <c r="D45" i="5"/>
  <c r="G52" i="1" s="1"/>
  <c r="D33" i="5"/>
  <c r="G40" i="1" s="1"/>
  <c r="D147" i="5"/>
  <c r="G154" i="1" s="1"/>
  <c r="D49" i="5"/>
  <c r="G56" i="1" s="1"/>
  <c r="D118" i="5"/>
  <c r="G125" i="1" s="1"/>
  <c r="D131" i="5"/>
  <c r="G138" i="1" s="1"/>
  <c r="D128" i="5"/>
  <c r="G135" i="1" s="1"/>
  <c r="D25" i="5"/>
  <c r="G32" i="1" s="1"/>
  <c r="D108" i="5"/>
  <c r="G115" i="1" s="1"/>
  <c r="D146" i="5"/>
  <c r="G153" i="1" s="1"/>
  <c r="D57" i="5"/>
  <c r="G64" i="1" s="1"/>
  <c r="D117" i="5"/>
  <c r="G124" i="1" s="1"/>
  <c r="D40" i="5"/>
  <c r="G47" i="1" s="1"/>
  <c r="C55" i="3"/>
  <c r="C108" i="1"/>
  <c r="C42" i="1"/>
  <c r="C95" i="3"/>
  <c r="C97" i="3"/>
  <c r="C112" i="3"/>
  <c r="C98" i="3"/>
  <c r="C101" i="3"/>
  <c r="C65" i="3"/>
  <c r="C56" i="3"/>
  <c r="C36" i="3"/>
  <c r="C58" i="3"/>
  <c r="C51" i="1"/>
  <c r="C108" i="3"/>
  <c r="C91" i="3"/>
  <c r="C83" i="3"/>
  <c r="C51" i="3"/>
  <c r="C35" i="3"/>
  <c r="C92" i="3"/>
  <c r="C28" i="1"/>
  <c r="C118" i="3"/>
  <c r="C52" i="3"/>
  <c r="C64" i="3"/>
  <c r="C70" i="1"/>
  <c r="C44" i="3"/>
  <c r="C31" i="1"/>
  <c r="C77" i="3"/>
  <c r="F40" i="25"/>
  <c r="F46" i="25"/>
  <c r="F6" i="25"/>
  <c r="F41" i="25"/>
  <c r="F51" i="25"/>
  <c r="B16" i="5"/>
  <c r="F79" i="25"/>
  <c r="F69" i="25"/>
  <c r="F77" i="25"/>
  <c r="B133" i="5"/>
  <c r="F57" i="25"/>
  <c r="F4" i="25"/>
  <c r="F14" i="25"/>
  <c r="F64" i="25"/>
  <c r="F20" i="25"/>
  <c r="F75" i="25"/>
  <c r="F47" i="25"/>
  <c r="B23" i="5"/>
  <c r="F44" i="25"/>
  <c r="B134" i="5"/>
  <c r="F53" i="25"/>
  <c r="F23" i="25"/>
  <c r="F35" i="25"/>
  <c r="F56" i="25"/>
  <c r="F73" i="25"/>
  <c r="F15" i="25"/>
  <c r="F55" i="25"/>
  <c r="F67" i="25"/>
  <c r="F16" i="25"/>
  <c r="B148" i="5"/>
  <c r="F48" i="25"/>
  <c r="B52" i="5"/>
  <c r="F72" i="25"/>
  <c r="F68" i="25"/>
  <c r="F22" i="25"/>
  <c r="F37" i="25"/>
  <c r="F66" i="25"/>
  <c r="F70" i="25"/>
  <c r="B135" i="5"/>
  <c r="F31" i="25"/>
  <c r="B137" i="5"/>
  <c r="F5" i="25"/>
  <c r="F30" i="25"/>
  <c r="F8" i="25"/>
  <c r="F54" i="25"/>
  <c r="F32" i="25"/>
  <c r="B120" i="5"/>
  <c r="F80" i="25"/>
  <c r="B136" i="5"/>
  <c r="F7" i="25"/>
  <c r="F71" i="25"/>
  <c r="C34" i="1"/>
  <c r="F10" i="25"/>
  <c r="C107" i="1"/>
  <c r="F63" i="25"/>
  <c r="B11" i="5"/>
  <c r="B73" i="5"/>
  <c r="F60" i="25"/>
  <c r="C119" i="1"/>
  <c r="F29" i="25"/>
  <c r="B27" i="5"/>
  <c r="B55" i="5"/>
  <c r="F49" i="25"/>
  <c r="B36" i="5"/>
  <c r="B97" i="5"/>
  <c r="F52" i="25"/>
  <c r="F39" i="25"/>
  <c r="F33" i="25"/>
  <c r="F9" i="25"/>
  <c r="B56" i="5"/>
  <c r="B3" i="5"/>
  <c r="F62" i="25"/>
  <c r="F19" i="25"/>
  <c r="F82" i="25"/>
  <c r="F17" i="25"/>
  <c r="C63" i="1"/>
  <c r="B92" i="5"/>
  <c r="B91" i="5"/>
  <c r="B82" i="5"/>
  <c r="K60" i="10"/>
  <c r="C40" i="3"/>
  <c r="C78" i="1"/>
  <c r="C104" i="3"/>
  <c r="C65" i="1"/>
  <c r="C22" i="1"/>
  <c r="C90" i="1"/>
  <c r="C103" i="1"/>
  <c r="C25" i="1"/>
  <c r="C73" i="1"/>
  <c r="C58" i="1"/>
  <c r="C84" i="3"/>
  <c r="C68" i="3"/>
  <c r="C53" i="3"/>
  <c r="C128" i="1"/>
  <c r="C13" i="1"/>
  <c r="C120" i="1"/>
  <c r="C46" i="1"/>
  <c r="C104" i="1"/>
  <c r="C114" i="3"/>
  <c r="C122" i="1"/>
  <c r="C85" i="1"/>
  <c r="C50" i="3"/>
  <c r="C87" i="1"/>
  <c r="C46" i="3"/>
  <c r="C87" i="3"/>
  <c r="C54" i="3"/>
  <c r="C49" i="3"/>
  <c r="C119" i="3"/>
  <c r="C164" i="1"/>
  <c r="C26" i="1"/>
  <c r="C50" i="1"/>
  <c r="C62" i="3"/>
  <c r="C74" i="3"/>
  <c r="C47" i="3"/>
  <c r="C101" i="1"/>
  <c r="C105" i="3"/>
  <c r="C39" i="3"/>
  <c r="C154" i="1"/>
  <c r="C163" i="1"/>
  <c r="C150" i="1"/>
  <c r="C148" i="1"/>
  <c r="C135" i="1"/>
  <c r="C41" i="1"/>
  <c r="C136" i="3"/>
  <c r="C131" i="1"/>
  <c r="C109" i="3"/>
  <c r="C34" i="3"/>
  <c r="C76" i="3"/>
  <c r="C43" i="3"/>
  <c r="C66" i="3"/>
  <c r="C118" i="1"/>
  <c r="C33" i="3"/>
  <c r="C156" i="1"/>
  <c r="B147" i="5"/>
  <c r="F78" i="25"/>
  <c r="C102" i="1"/>
  <c r="B53" i="5"/>
  <c r="F26" i="25"/>
  <c r="B66" i="5"/>
  <c r="F34" i="25"/>
  <c r="C80" i="3"/>
  <c r="B68" i="5"/>
  <c r="F36" i="25"/>
  <c r="C115" i="1"/>
  <c r="C129" i="3"/>
  <c r="C134" i="1"/>
  <c r="C153" i="1"/>
  <c r="C96" i="3"/>
  <c r="C41" i="3"/>
  <c r="C63" i="3"/>
  <c r="C27" i="1"/>
  <c r="B43" i="5"/>
  <c r="F18" i="25"/>
  <c r="C109" i="1"/>
  <c r="C110" i="3"/>
  <c r="C75" i="1"/>
  <c r="C71" i="1"/>
  <c r="C152" i="1"/>
  <c r="C138" i="1"/>
  <c r="C136" i="1"/>
  <c r="C149" i="1"/>
  <c r="C126" i="3"/>
  <c r="C130" i="1"/>
  <c r="C88" i="3"/>
  <c r="C165" i="1"/>
  <c r="C127" i="1"/>
  <c r="C67" i="3"/>
  <c r="C78" i="3"/>
  <c r="B79" i="5"/>
  <c r="F43" i="25"/>
  <c r="C32" i="1"/>
  <c r="C133" i="3"/>
  <c r="C132" i="1"/>
  <c r="C142" i="3"/>
  <c r="C143" i="1"/>
  <c r="C157" i="1"/>
  <c r="C124" i="3"/>
  <c r="C133" i="1"/>
  <c r="C123" i="3"/>
  <c r="C141" i="1"/>
  <c r="C70" i="3"/>
  <c r="C38" i="3"/>
  <c r="C93" i="3"/>
  <c r="C48" i="3"/>
  <c r="C93" i="1"/>
  <c r="B117" i="5"/>
  <c r="F61" i="25"/>
  <c r="C80" i="1"/>
  <c r="B143" i="5"/>
  <c r="F76" i="25"/>
  <c r="C15" i="1"/>
  <c r="C21" i="1"/>
  <c r="C47" i="1"/>
  <c r="B112" i="5"/>
  <c r="F58" i="25"/>
  <c r="C66" i="1"/>
  <c r="C43" i="1"/>
  <c r="C18" i="1"/>
  <c r="C139" i="1"/>
  <c r="C125" i="3"/>
  <c r="C81" i="3"/>
  <c r="B115" i="5"/>
  <c r="F59" i="25"/>
  <c r="B102" i="5"/>
  <c r="F50" i="25"/>
  <c r="C120" i="3"/>
  <c r="B154" i="5"/>
  <c r="F81" i="25"/>
  <c r="C73" i="3"/>
  <c r="C79" i="1"/>
  <c r="B71" i="5"/>
  <c r="F38" i="25"/>
  <c r="C86" i="1"/>
  <c r="B83" i="5"/>
  <c r="F45" i="25"/>
  <c r="C23" i="1"/>
  <c r="D23" i="1" s="1"/>
  <c r="E16" i="3" s="1"/>
  <c r="C62" i="1"/>
  <c r="C132" i="3"/>
  <c r="C130" i="3"/>
  <c r="C159" i="1"/>
  <c r="C155" i="1"/>
  <c r="C122" i="3"/>
  <c r="B29" i="5"/>
  <c r="F12" i="25"/>
  <c r="B28" i="5"/>
  <c r="F11" i="25"/>
  <c r="C90" i="3"/>
  <c r="B138" i="5"/>
  <c r="F74" i="25"/>
  <c r="C81" i="1"/>
  <c r="C11" i="1"/>
  <c r="C111" i="1"/>
  <c r="C72" i="3"/>
  <c r="C71" i="3"/>
  <c r="C79" i="3"/>
  <c r="C12" i="1"/>
  <c r="C89" i="1"/>
  <c r="B54" i="5"/>
  <c r="F27" i="25"/>
  <c r="C137" i="3"/>
  <c r="C137" i="1"/>
  <c r="C103" i="3"/>
  <c r="B103" i="5"/>
  <c r="C110" i="1"/>
  <c r="C116" i="3"/>
  <c r="B32" i="5"/>
  <c r="F13" i="25"/>
  <c r="C30" i="1"/>
  <c r="C55" i="1"/>
  <c r="B57" i="5"/>
  <c r="F28" i="25"/>
  <c r="C39" i="1"/>
  <c r="C112" i="1"/>
  <c r="C99" i="1"/>
  <c r="C57" i="1"/>
  <c r="C98" i="1"/>
  <c r="C53" i="1"/>
  <c r="C82" i="3"/>
  <c r="C45" i="3"/>
  <c r="C144" i="1"/>
  <c r="C162" i="1"/>
  <c r="C160" i="1"/>
  <c r="B78" i="5"/>
  <c r="F42" i="25"/>
  <c r="C106" i="3"/>
  <c r="C115" i="3"/>
  <c r="C32" i="3"/>
  <c r="C102" i="3"/>
  <c r="C113" i="1"/>
  <c r="C100" i="1"/>
  <c r="C36" i="1"/>
  <c r="C35" i="1"/>
  <c r="B50" i="5"/>
  <c r="F25" i="25"/>
  <c r="B2" i="5"/>
  <c r="F2" i="25"/>
  <c r="C97" i="1"/>
  <c r="C155" i="3"/>
  <c r="C147" i="1"/>
  <c r="C146" i="1"/>
  <c r="C158" i="3"/>
  <c r="M146" i="10"/>
  <c r="J149" i="10"/>
  <c r="M149" i="10"/>
  <c r="J151" i="10"/>
  <c r="I140" i="10"/>
  <c r="K133" i="10"/>
  <c r="M34" i="10"/>
  <c r="I57" i="10"/>
  <c r="K135" i="10"/>
  <c r="J127" i="10"/>
  <c r="K145" i="10"/>
  <c r="J162" i="10"/>
  <c r="M135" i="10"/>
  <c r="J75" i="10"/>
  <c r="J59" i="10"/>
  <c r="K59" i="10"/>
  <c r="L59" i="10"/>
  <c r="G61" i="10"/>
  <c r="E173" i="10" s="1"/>
  <c r="D185" i="10" s="1"/>
  <c r="J56" i="10"/>
  <c r="K34" i="10"/>
  <c r="J34" i="10"/>
  <c r="J42" i="10"/>
  <c r="L42" i="10"/>
  <c r="M42" i="10"/>
  <c r="L34" i="10"/>
  <c r="K56" i="10"/>
  <c r="J36" i="10"/>
  <c r="L56" i="10"/>
  <c r="J155" i="10"/>
  <c r="K85" i="10"/>
  <c r="M65" i="10"/>
  <c r="J39" i="10"/>
  <c r="K131" i="10"/>
  <c r="K39" i="10"/>
  <c r="J41" i="10"/>
  <c r="J153" i="10"/>
  <c r="M154" i="10"/>
  <c r="K153" i="10"/>
  <c r="K65" i="10"/>
  <c r="M41" i="10"/>
  <c r="M37" i="10"/>
  <c r="K45" i="10"/>
  <c r="M53" i="10"/>
  <c r="L154" i="10"/>
  <c r="L52" i="10"/>
  <c r="J65" i="10"/>
  <c r="M131" i="10"/>
  <c r="M133" i="10"/>
  <c r="L153" i="10"/>
  <c r="M165" i="10"/>
  <c r="L165" i="10"/>
  <c r="J154" i="10"/>
  <c r="M45" i="10"/>
  <c r="K149" i="10"/>
  <c r="J133" i="10"/>
  <c r="L58" i="10"/>
  <c r="M164" i="10"/>
  <c r="J131" i="10"/>
  <c r="K151" i="10"/>
  <c r="H121" i="3"/>
  <c r="C121" i="3"/>
  <c r="H139" i="3"/>
  <c r="C139" i="3"/>
  <c r="H147" i="3"/>
  <c r="C147" i="3"/>
  <c r="I18" i="3"/>
  <c r="H156" i="3"/>
  <c r="C156" i="3"/>
  <c r="H143" i="3"/>
  <c r="C143" i="3"/>
  <c r="H154" i="3"/>
  <c r="C154" i="3"/>
  <c r="H140" i="3"/>
  <c r="C140" i="3"/>
  <c r="H149" i="3"/>
  <c r="C149" i="3"/>
  <c r="B60" i="3"/>
  <c r="C60" i="3"/>
  <c r="H145" i="3"/>
  <c r="C145" i="3"/>
  <c r="H138" i="3"/>
  <c r="C138" i="3"/>
  <c r="H127" i="3"/>
  <c r="C127" i="3"/>
  <c r="H135" i="3"/>
  <c r="C135" i="3"/>
  <c r="H146" i="3"/>
  <c r="C146" i="3"/>
  <c r="H131" i="3"/>
  <c r="C131" i="3"/>
  <c r="I60" i="3"/>
  <c r="H128" i="3"/>
  <c r="C128" i="3"/>
  <c r="B117" i="3"/>
  <c r="C117" i="3"/>
  <c r="H150" i="3"/>
  <c r="C150" i="3"/>
  <c r="H111" i="3"/>
  <c r="C111" i="3"/>
  <c r="H94" i="3"/>
  <c r="C94" i="3"/>
  <c r="H125" i="3"/>
  <c r="H153" i="3"/>
  <c r="C153" i="3"/>
  <c r="H151" i="3"/>
  <c r="C151" i="3"/>
  <c r="H134" i="3"/>
  <c r="C134" i="3"/>
  <c r="H148" i="3"/>
  <c r="C148" i="3"/>
  <c r="B69" i="3"/>
  <c r="C69" i="3"/>
  <c r="H144" i="3"/>
  <c r="C144" i="3"/>
  <c r="H152" i="3"/>
  <c r="C152" i="3"/>
  <c r="B86" i="3"/>
  <c r="C86" i="3"/>
  <c r="B57" i="3"/>
  <c r="C57" i="3"/>
  <c r="H129" i="3"/>
  <c r="H157" i="3"/>
  <c r="C157" i="3"/>
  <c r="H141" i="3"/>
  <c r="C141" i="3"/>
  <c r="I94" i="3"/>
  <c r="B138" i="1"/>
  <c r="B71" i="1"/>
  <c r="A118" i="23"/>
  <c r="C125" i="1"/>
  <c r="B72" i="1"/>
  <c r="C72" i="1"/>
  <c r="A31" i="23"/>
  <c r="C38" i="1"/>
  <c r="A61" i="23"/>
  <c r="A49" i="23"/>
  <c r="C56" i="1"/>
  <c r="B61" i="1"/>
  <c r="C61" i="1"/>
  <c r="A135" i="23"/>
  <c r="C142" i="1"/>
  <c r="A114" i="23"/>
  <c r="C121" i="1"/>
  <c r="B116" i="1"/>
  <c r="C116" i="1"/>
  <c r="B17" i="1"/>
  <c r="C17" i="1"/>
  <c r="B29" i="1"/>
  <c r="C29" i="1"/>
  <c r="A133" i="23"/>
  <c r="C140" i="1"/>
  <c r="B14" i="1"/>
  <c r="C14" i="1"/>
  <c r="A110" i="23"/>
  <c r="C117" i="1"/>
  <c r="B24" i="1"/>
  <c r="C24" i="1"/>
  <c r="A69" i="23"/>
  <c r="C76" i="1"/>
  <c r="A98" i="23"/>
  <c r="C105" i="1"/>
  <c r="B124" i="1"/>
  <c r="C124" i="1"/>
  <c r="A41" i="23"/>
  <c r="C48" i="1"/>
  <c r="A38" i="23"/>
  <c r="C45" i="1"/>
  <c r="B94" i="1"/>
  <c r="C94" i="1"/>
  <c r="A67" i="23"/>
  <c r="C74" i="1"/>
  <c r="B84" i="1"/>
  <c r="C84" i="1"/>
  <c r="A116" i="23"/>
  <c r="C123" i="1"/>
  <c r="A12" i="23"/>
  <c r="C19" i="1"/>
  <c r="B20" i="1"/>
  <c r="C20" i="1"/>
  <c r="A53" i="23"/>
  <c r="C60" i="1"/>
  <c r="A52" i="23"/>
  <c r="C59" i="1"/>
  <c r="B10" i="1"/>
  <c r="C10" i="1"/>
  <c r="A154" i="23"/>
  <c r="C161" i="1"/>
  <c r="B69" i="1"/>
  <c r="C69" i="1"/>
  <c r="A144" i="23"/>
  <c r="C151" i="1"/>
  <c r="B145" i="1"/>
  <c r="C145" i="1"/>
  <c r="B91" i="1"/>
  <c r="C91" i="1"/>
  <c r="D91" i="1" s="1"/>
  <c r="B52" i="1"/>
  <c r="C52" i="1"/>
  <c r="A81" i="23"/>
  <c r="C88" i="1"/>
  <c r="B9" i="1"/>
  <c r="C9" i="1"/>
  <c r="B40" i="1"/>
  <c r="C40" i="1"/>
  <c r="B158" i="1"/>
  <c r="C158" i="1"/>
  <c r="A119" i="23"/>
  <c r="C126" i="1"/>
  <c r="A9" i="23"/>
  <c r="C16" i="1"/>
  <c r="B114" i="1"/>
  <c r="C114" i="1"/>
  <c r="B129" i="1"/>
  <c r="C129" i="1"/>
  <c r="A47" i="23"/>
  <c r="C54" i="1"/>
  <c r="B83" i="1"/>
  <c r="C83" i="1"/>
  <c r="B126" i="1"/>
  <c r="B67" i="1"/>
  <c r="C67" i="1"/>
  <c r="A88" i="23"/>
  <c r="C95" i="1"/>
  <c r="A57" i="23"/>
  <c r="C64" i="1"/>
  <c r="A70" i="23"/>
  <c r="C77" i="1"/>
  <c r="B82" i="1"/>
  <c r="I117" i="3"/>
  <c r="B94" i="3"/>
  <c r="B140" i="1"/>
  <c r="A109" i="23"/>
  <c r="H117" i="3"/>
  <c r="I57" i="3"/>
  <c r="B153" i="1"/>
  <c r="A146" i="23"/>
  <c r="A151" i="23"/>
  <c r="B142" i="1"/>
  <c r="H60" i="3"/>
  <c r="B111" i="3"/>
  <c r="A84" i="23"/>
  <c r="A33" i="23"/>
  <c r="I7" i="3"/>
  <c r="I111" i="3"/>
  <c r="B121" i="5"/>
  <c r="B45" i="5"/>
  <c r="A77" i="23"/>
  <c r="A7" i="23"/>
  <c r="B122" i="1"/>
  <c r="A115" i="23"/>
  <c r="G76" i="1"/>
  <c r="A60" i="23"/>
  <c r="B116" i="5"/>
  <c r="B5" i="5"/>
  <c r="B81" i="5"/>
  <c r="B127" i="1"/>
  <c r="B77" i="1"/>
  <c r="A3" i="23"/>
  <c r="B3" i="23" s="1"/>
  <c r="B88" i="5"/>
  <c r="A122" i="23"/>
  <c r="B18" i="5"/>
  <c r="B111" i="5"/>
  <c r="A120" i="23"/>
  <c r="B123" i="1"/>
  <c r="A130" i="23"/>
  <c r="B137" i="1"/>
  <c r="B70" i="5"/>
  <c r="A10" i="23"/>
  <c r="B76" i="1"/>
  <c r="A17" i="23"/>
  <c r="A23" i="23"/>
  <c r="B30" i="1"/>
  <c r="B38" i="1"/>
  <c r="A2" i="23"/>
  <c r="B2" i="23" s="1"/>
  <c r="A65" i="23"/>
  <c r="B151" i="1"/>
  <c r="A145" i="23"/>
  <c r="A107" i="23"/>
  <c r="B152" i="1"/>
  <c r="B90" i="5"/>
  <c r="A62" i="23"/>
  <c r="B19" i="1"/>
  <c r="A117" i="23"/>
  <c r="I145" i="3"/>
  <c r="B145" i="3"/>
  <c r="B130" i="3"/>
  <c r="I130" i="3"/>
  <c r="I51" i="3"/>
  <c r="B51" i="3"/>
  <c r="H51" i="3"/>
  <c r="B68" i="1"/>
  <c r="I62" i="3"/>
  <c r="B62" i="3"/>
  <c r="H62" i="3"/>
  <c r="B108" i="3"/>
  <c r="I108" i="3"/>
  <c r="H108" i="3"/>
  <c r="H56" i="3"/>
  <c r="B56" i="3"/>
  <c r="I56" i="3"/>
  <c r="I13" i="3"/>
  <c r="B100" i="5"/>
  <c r="H49" i="3"/>
  <c r="B49" i="3"/>
  <c r="I49" i="3"/>
  <c r="I63" i="3"/>
  <c r="H63" i="3"/>
  <c r="B63" i="3"/>
  <c r="I23" i="3"/>
  <c r="I71" i="3"/>
  <c r="B71" i="3"/>
  <c r="H71" i="3"/>
  <c r="B128" i="3"/>
  <c r="I128" i="3"/>
  <c r="B54" i="3"/>
  <c r="H54" i="3"/>
  <c r="I54" i="3"/>
  <c r="B68" i="3"/>
  <c r="H68" i="3"/>
  <c r="I68" i="3"/>
  <c r="I21" i="3"/>
  <c r="H37" i="3"/>
  <c r="B37" i="3"/>
  <c r="I37" i="3"/>
  <c r="B144" i="3"/>
  <c r="I144" i="3"/>
  <c r="I155" i="3"/>
  <c r="B155" i="3"/>
  <c r="B150" i="3"/>
  <c r="I150" i="3"/>
  <c r="B126" i="3"/>
  <c r="I126" i="3"/>
  <c r="I147" i="3"/>
  <c r="B147" i="3"/>
  <c r="I158" i="3"/>
  <c r="B158" i="3"/>
  <c r="B58" i="3"/>
  <c r="I58" i="3"/>
  <c r="H58" i="3"/>
  <c r="I3" i="3"/>
  <c r="I34" i="3"/>
  <c r="B34" i="3"/>
  <c r="H34" i="3"/>
  <c r="I133" i="3"/>
  <c r="B133" i="3"/>
  <c r="I153" i="3"/>
  <c r="B153" i="3"/>
  <c r="I124" i="3"/>
  <c r="B124" i="3"/>
  <c r="B80" i="3"/>
  <c r="H80" i="3"/>
  <c r="I80" i="3"/>
  <c r="I136" i="3"/>
  <c r="B136" i="3"/>
  <c r="B48" i="3"/>
  <c r="H48" i="3"/>
  <c r="I48" i="3"/>
  <c r="B42" i="3"/>
  <c r="H42" i="3"/>
  <c r="I42" i="3"/>
  <c r="B44" i="3"/>
  <c r="H44" i="3"/>
  <c r="I44" i="3"/>
  <c r="I16" i="3"/>
  <c r="I30" i="3"/>
  <c r="H40" i="3"/>
  <c r="I40" i="3"/>
  <c r="B40" i="3"/>
  <c r="H155" i="3"/>
  <c r="H41" i="3"/>
  <c r="B41" i="3"/>
  <c r="I41" i="3"/>
  <c r="I4" i="3"/>
  <c r="I14" i="3"/>
  <c r="B122" i="3"/>
  <c r="I122" i="3"/>
  <c r="I109" i="3"/>
  <c r="H109" i="3"/>
  <c r="B109" i="3"/>
  <c r="I79" i="3"/>
  <c r="B79" i="3"/>
  <c r="H79" i="3"/>
  <c r="I97" i="3"/>
  <c r="H97" i="3"/>
  <c r="B97" i="3"/>
  <c r="B48" i="1"/>
  <c r="I15" i="3"/>
  <c r="A13" i="23"/>
  <c r="I9" i="3"/>
  <c r="I29" i="3"/>
  <c r="H124" i="3"/>
  <c r="H122" i="3"/>
  <c r="H158" i="3"/>
  <c r="H33" i="3"/>
  <c r="B33" i="3"/>
  <c r="I33" i="3"/>
  <c r="B132" i="3"/>
  <c r="I132" i="3"/>
  <c r="I143" i="3"/>
  <c r="B143" i="3"/>
  <c r="I151" i="3"/>
  <c r="B151" i="3"/>
  <c r="I135" i="3"/>
  <c r="B135" i="3"/>
  <c r="I146" i="3"/>
  <c r="B146" i="3"/>
  <c r="H52" i="3"/>
  <c r="B52" i="3"/>
  <c r="I52" i="3"/>
  <c r="I59" i="3"/>
  <c r="B59" i="3"/>
  <c r="H59" i="3"/>
  <c r="H61" i="3"/>
  <c r="B61" i="3"/>
  <c r="I61" i="3"/>
  <c r="I24" i="3"/>
  <c r="I17" i="3"/>
  <c r="I28" i="3"/>
  <c r="H53" i="3"/>
  <c r="B53" i="3"/>
  <c r="I53" i="3"/>
  <c r="I96" i="3"/>
  <c r="B96" i="3"/>
  <c r="H96" i="3"/>
  <c r="B119" i="5"/>
  <c r="I26" i="3"/>
  <c r="H55" i="3"/>
  <c r="B55" i="3"/>
  <c r="I55" i="3"/>
  <c r="H102" i="3"/>
  <c r="B102" i="3"/>
  <c r="I102" i="3"/>
  <c r="B118" i="3"/>
  <c r="I118" i="3"/>
  <c r="H118" i="3"/>
  <c r="I50" i="3"/>
  <c r="H50" i="3"/>
  <c r="B50" i="3"/>
  <c r="I11" i="3"/>
  <c r="H89" i="3"/>
  <c r="B89" i="3"/>
  <c r="I89" i="3"/>
  <c r="H126" i="3"/>
  <c r="I137" i="3"/>
  <c r="B137" i="3"/>
  <c r="B138" i="3"/>
  <c r="I138" i="3"/>
  <c r="I154" i="3"/>
  <c r="B154" i="3"/>
  <c r="I141" i="3"/>
  <c r="B141" i="3"/>
  <c r="I74" i="3"/>
  <c r="H74" i="3"/>
  <c r="B74" i="3"/>
  <c r="B47" i="3"/>
  <c r="I47" i="3"/>
  <c r="H47" i="3"/>
  <c r="H77" i="3"/>
  <c r="B77" i="3"/>
  <c r="I77" i="3"/>
  <c r="H107" i="3"/>
  <c r="B107" i="3"/>
  <c r="I107" i="3"/>
  <c r="B98" i="5"/>
  <c r="I35" i="3"/>
  <c r="H35" i="3"/>
  <c r="B35" i="3"/>
  <c r="I31" i="3"/>
  <c r="I75" i="3"/>
  <c r="B75" i="3"/>
  <c r="H75" i="3"/>
  <c r="I10" i="3"/>
  <c r="I92" i="3"/>
  <c r="B92" i="3"/>
  <c r="H92" i="3"/>
  <c r="H85" i="3"/>
  <c r="B85" i="3"/>
  <c r="I85" i="3"/>
  <c r="B60" i="1"/>
  <c r="B43" i="3"/>
  <c r="H43" i="3"/>
  <c r="I43" i="3"/>
  <c r="B66" i="3"/>
  <c r="I66" i="3"/>
  <c r="H66" i="3"/>
  <c r="B91" i="3"/>
  <c r="I91" i="3"/>
  <c r="H91" i="3"/>
  <c r="H45" i="3"/>
  <c r="B45" i="3"/>
  <c r="I45" i="3"/>
  <c r="H130" i="3"/>
  <c r="B152" i="3"/>
  <c r="I152" i="3"/>
  <c r="B156" i="3"/>
  <c r="I156" i="3"/>
  <c r="I127" i="3"/>
  <c r="B127" i="3"/>
  <c r="H76" i="3"/>
  <c r="I76" i="3"/>
  <c r="B76" i="3"/>
  <c r="I6" i="3"/>
  <c r="I20" i="3"/>
  <c r="H95" i="3"/>
  <c r="B95" i="3"/>
  <c r="I95" i="3"/>
  <c r="I64" i="3"/>
  <c r="H64" i="3"/>
  <c r="B64" i="3"/>
  <c r="H98" i="3"/>
  <c r="B98" i="3"/>
  <c r="I98" i="3"/>
  <c r="H73" i="3"/>
  <c r="B73" i="3"/>
  <c r="I73" i="3"/>
  <c r="B39" i="3"/>
  <c r="I39" i="3"/>
  <c r="H39" i="3"/>
  <c r="H133" i="3"/>
  <c r="I131" i="3"/>
  <c r="B131" i="3"/>
  <c r="B134" i="3"/>
  <c r="I134" i="3"/>
  <c r="H99" i="3"/>
  <c r="I99" i="3"/>
  <c r="B99" i="3"/>
  <c r="I38" i="3"/>
  <c r="H38" i="3"/>
  <c r="B38" i="3"/>
  <c r="I19" i="3"/>
  <c r="B93" i="3"/>
  <c r="I93" i="3"/>
  <c r="H93" i="3"/>
  <c r="I27" i="3"/>
  <c r="H112" i="3"/>
  <c r="I112" i="3"/>
  <c r="B112" i="3"/>
  <c r="H115" i="3"/>
  <c r="B115" i="3"/>
  <c r="I115" i="3"/>
  <c r="B36" i="3"/>
  <c r="I36" i="3"/>
  <c r="H36" i="3"/>
  <c r="B32" i="3"/>
  <c r="H32" i="3"/>
  <c r="I32" i="3"/>
  <c r="H65" i="3"/>
  <c r="B65" i="3"/>
  <c r="I65" i="3"/>
  <c r="I84" i="3"/>
  <c r="H84" i="3"/>
  <c r="B84" i="3"/>
  <c r="B121" i="1"/>
  <c r="D66" i="3"/>
  <c r="I46" i="3"/>
  <c r="B46" i="3"/>
  <c r="H46" i="3"/>
  <c r="I87" i="3"/>
  <c r="H87" i="3"/>
  <c r="B87" i="3"/>
  <c r="H136" i="3"/>
  <c r="B157" i="3"/>
  <c r="I157" i="3"/>
  <c r="I149" i="3"/>
  <c r="B149" i="3"/>
  <c r="B129" i="3"/>
  <c r="I129" i="3"/>
  <c r="B139" i="3"/>
  <c r="I139" i="3"/>
  <c r="I148" i="3"/>
  <c r="B148" i="3"/>
  <c r="I123" i="3"/>
  <c r="B123" i="3"/>
  <c r="B114" i="3"/>
  <c r="H114" i="3"/>
  <c r="I114" i="3"/>
  <c r="I25" i="3"/>
  <c r="B101" i="3"/>
  <c r="H101" i="3"/>
  <c r="I101" i="3"/>
  <c r="H78" i="3"/>
  <c r="B78" i="3"/>
  <c r="I78" i="3"/>
  <c r="I121" i="3"/>
  <c r="B121" i="3"/>
  <c r="B83" i="3"/>
  <c r="H83" i="3"/>
  <c r="I83" i="3"/>
  <c r="I104" i="3"/>
  <c r="B104" i="3"/>
  <c r="H104" i="3"/>
  <c r="B15" i="5"/>
  <c r="I12" i="3"/>
  <c r="B40" i="5"/>
  <c r="I113" i="3"/>
  <c r="H113" i="3"/>
  <c r="B113" i="3"/>
  <c r="H106" i="3"/>
  <c r="I106" i="3"/>
  <c r="B106" i="3"/>
  <c r="I105" i="3"/>
  <c r="B105" i="3"/>
  <c r="H105" i="3"/>
  <c r="I100" i="3"/>
  <c r="H100" i="3"/>
  <c r="B100" i="3"/>
  <c r="I22" i="3"/>
  <c r="B72" i="3"/>
  <c r="I72" i="3"/>
  <c r="H72" i="3"/>
  <c r="I8" i="3"/>
  <c r="I67" i="3"/>
  <c r="H67" i="3"/>
  <c r="B67" i="3"/>
  <c r="H110" i="3"/>
  <c r="B110" i="3"/>
  <c r="I110" i="3"/>
  <c r="H90" i="3"/>
  <c r="B90" i="3"/>
  <c r="I90" i="3"/>
  <c r="H137" i="3"/>
  <c r="I125" i="3"/>
  <c r="B125" i="3"/>
  <c r="B142" i="3"/>
  <c r="I142" i="3"/>
  <c r="I140" i="3"/>
  <c r="B140" i="3"/>
  <c r="G146" i="1"/>
  <c r="B34" i="5"/>
  <c r="B58" i="5"/>
  <c r="B25" i="5"/>
  <c r="B46" i="5"/>
  <c r="B77" i="5"/>
  <c r="B87" i="5"/>
  <c r="B33" i="5"/>
  <c r="B17" i="5"/>
  <c r="B38" i="5"/>
  <c r="B107" i="5"/>
  <c r="B51" i="5"/>
  <c r="B76" i="5"/>
  <c r="B35" i="5"/>
  <c r="B59" i="5"/>
  <c r="B24" i="5"/>
  <c r="D30" i="2"/>
  <c r="C30" i="3" s="1"/>
  <c r="B6" i="5"/>
  <c r="B39" i="5"/>
  <c r="B4" i="5"/>
  <c r="B113" i="5"/>
  <c r="B69" i="5"/>
  <c r="B13" i="5"/>
  <c r="D109" i="3"/>
  <c r="B14" i="5"/>
  <c r="B94" i="5"/>
  <c r="B47" i="5"/>
  <c r="B95" i="5"/>
  <c r="B82" i="3"/>
  <c r="I82" i="3"/>
  <c r="H82" i="3"/>
  <c r="B139" i="5"/>
  <c r="B131" i="5"/>
  <c r="B151" i="5"/>
  <c r="B129" i="5"/>
  <c r="B156" i="5"/>
  <c r="B132" i="5"/>
  <c r="B140" i="5"/>
  <c r="B127" i="5"/>
  <c r="B125" i="5"/>
  <c r="B157" i="5"/>
  <c r="B122" i="5"/>
  <c r="D26" i="2"/>
  <c r="C26" i="3" s="1"/>
  <c r="B145" i="5"/>
  <c r="B128" i="5"/>
  <c r="B130" i="5"/>
  <c r="B20" i="5"/>
  <c r="B153" i="5"/>
  <c r="B158" i="5"/>
  <c r="B146" i="5"/>
  <c r="B72" i="5"/>
  <c r="B104" i="5"/>
  <c r="B142" i="5"/>
  <c r="B123" i="5"/>
  <c r="B155" i="5"/>
  <c r="D89" i="2"/>
  <c r="B19" i="5"/>
  <c r="B126" i="5"/>
  <c r="B124" i="5"/>
  <c r="B150" i="5"/>
  <c r="B149" i="5"/>
  <c r="B141" i="5"/>
  <c r="B144" i="5"/>
  <c r="B152" i="5"/>
  <c r="D34" i="3"/>
  <c r="D69" i="3"/>
  <c r="D32" i="3"/>
  <c r="D49" i="3"/>
  <c r="D76" i="3"/>
  <c r="D95" i="3"/>
  <c r="D54" i="3"/>
  <c r="D47" i="3"/>
  <c r="D57" i="3"/>
  <c r="D68" i="3"/>
  <c r="D85" i="3"/>
  <c r="D86" i="3"/>
  <c r="D114" i="3"/>
  <c r="D72" i="3"/>
  <c r="D58" i="3"/>
  <c r="D75" i="3"/>
  <c r="D40" i="3"/>
  <c r="D77" i="3"/>
  <c r="D91" i="3"/>
  <c r="D98" i="3"/>
  <c r="D78" i="3"/>
  <c r="D70" i="3"/>
  <c r="D81" i="3"/>
  <c r="D63" i="3"/>
  <c r="D74" i="3"/>
  <c r="D52" i="3"/>
  <c r="D92" i="3"/>
  <c r="D100" i="3"/>
  <c r="D111" i="3"/>
  <c r="D84" i="3"/>
  <c r="D82" i="3"/>
  <c r="D87" i="3"/>
  <c r="D60" i="3"/>
  <c r="D108" i="3"/>
  <c r="D64" i="3"/>
  <c r="D101" i="3"/>
  <c r="D110" i="3"/>
  <c r="D41" i="3"/>
  <c r="D90" i="3"/>
  <c r="D94" i="3"/>
  <c r="D93" i="3"/>
  <c r="D59" i="3"/>
  <c r="D104" i="3"/>
  <c r="D79" i="3"/>
  <c r="D117" i="3"/>
  <c r="D119" i="3"/>
  <c r="D50" i="3"/>
  <c r="D96" i="3"/>
  <c r="D107" i="3"/>
  <c r="D99" i="3"/>
  <c r="D105" i="3"/>
  <c r="D73" i="3"/>
  <c r="D97" i="3"/>
  <c r="D62" i="3"/>
  <c r="D106" i="3"/>
  <c r="D33" i="3"/>
  <c r="D102" i="3"/>
  <c r="D65" i="3"/>
  <c r="D46" i="3"/>
  <c r="G141" i="1"/>
  <c r="I141" i="1" s="1"/>
  <c r="H141" i="1" s="1"/>
  <c r="D113" i="3"/>
  <c r="D43" i="3"/>
  <c r="D36" i="3"/>
  <c r="D112" i="3"/>
  <c r="D39" i="3"/>
  <c r="D44" i="3"/>
  <c r="D88" i="3"/>
  <c r="D83" i="3"/>
  <c r="G96" i="1"/>
  <c r="I96" i="1" s="1"/>
  <c r="H96" i="1" s="1"/>
  <c r="D55" i="3"/>
  <c r="D80" i="3"/>
  <c r="D42" i="3"/>
  <c r="D118" i="3"/>
  <c r="D45" i="3"/>
  <c r="D115" i="3"/>
  <c r="D61" i="3"/>
  <c r="D56" i="3"/>
  <c r="G161" i="1"/>
  <c r="D37" i="3"/>
  <c r="D38" i="3"/>
  <c r="D67" i="3"/>
  <c r="D89" i="3"/>
  <c r="D35" i="3"/>
  <c r="D51" i="3"/>
  <c r="B118" i="5"/>
  <c r="B12" i="5"/>
  <c r="B65" i="5"/>
  <c r="B96" i="5"/>
  <c r="B62" i="5"/>
  <c r="B105" i="5"/>
  <c r="B110" i="5"/>
  <c r="B106" i="5"/>
  <c r="B22" i="5"/>
  <c r="B84" i="5"/>
  <c r="D99" i="2"/>
  <c r="B120" i="3"/>
  <c r="I120" i="3"/>
  <c r="H120" i="3"/>
  <c r="D120" i="3"/>
  <c r="B93" i="5"/>
  <c r="B44" i="5"/>
  <c r="B109" i="5"/>
  <c r="B7" i="5"/>
  <c r="B9" i="5"/>
  <c r="B67" i="5"/>
  <c r="B10" i="5"/>
  <c r="B48" i="5"/>
  <c r="D42" i="2"/>
  <c r="B8" i="5"/>
  <c r="B101" i="5"/>
  <c r="B49" i="5"/>
  <c r="D157" i="3"/>
  <c r="D154" i="3"/>
  <c r="D151" i="3"/>
  <c r="D148" i="3"/>
  <c r="D145" i="3"/>
  <c r="D142" i="3"/>
  <c r="D139" i="3"/>
  <c r="D136" i="3"/>
  <c r="D133" i="3"/>
  <c r="D130" i="3"/>
  <c r="D127" i="3"/>
  <c r="D124" i="3"/>
  <c r="D121" i="3"/>
  <c r="D158" i="3"/>
  <c r="D155" i="3"/>
  <c r="D152" i="3"/>
  <c r="D149" i="3"/>
  <c r="D146" i="3"/>
  <c r="D143" i="3"/>
  <c r="D140" i="3"/>
  <c r="D137" i="3"/>
  <c r="D134" i="3"/>
  <c r="D131" i="3"/>
  <c r="D128" i="3"/>
  <c r="D125" i="3"/>
  <c r="D122" i="3"/>
  <c r="D156" i="3"/>
  <c r="D153" i="3"/>
  <c r="D150" i="3"/>
  <c r="D147" i="3"/>
  <c r="D144" i="3"/>
  <c r="D141" i="3"/>
  <c r="D138" i="3"/>
  <c r="D135" i="3"/>
  <c r="D132" i="3"/>
  <c r="D129" i="3"/>
  <c r="D126" i="3"/>
  <c r="D123" i="3"/>
  <c r="B80" i="5"/>
  <c r="B114" i="5"/>
  <c r="A87" i="23"/>
  <c r="B59" i="1"/>
  <c r="B102" i="1"/>
  <c r="A14" i="23"/>
  <c r="B95" i="1"/>
  <c r="B113" i="1"/>
  <c r="B21" i="1"/>
  <c r="A106" i="23"/>
  <c r="B105" i="1"/>
  <c r="A45" i="23"/>
  <c r="B45" i="1"/>
  <c r="A95" i="23"/>
  <c r="B60" i="5"/>
  <c r="A86" i="23"/>
  <c r="A131" i="23"/>
  <c r="G19" i="1"/>
  <c r="I19" i="1" s="1"/>
  <c r="H19" i="1" s="1"/>
  <c r="B64" i="1"/>
  <c r="B74" i="1"/>
  <c r="G162" i="1"/>
  <c r="I162" i="1" s="1"/>
  <c r="H162" i="1" s="1"/>
  <c r="B162" i="1"/>
  <c r="B165" i="1"/>
  <c r="D61" i="2"/>
  <c r="G67" i="1"/>
  <c r="I67" i="1" s="1"/>
  <c r="H67" i="1" s="1"/>
  <c r="B93" i="1"/>
  <c r="B31" i="5"/>
  <c r="G95" i="1"/>
  <c r="I95" i="1" s="1"/>
  <c r="H95" i="1" s="1"/>
  <c r="G82" i="1"/>
  <c r="I82" i="1" s="1"/>
  <c r="H82" i="1" s="1"/>
  <c r="G30" i="1"/>
  <c r="I30" i="1" s="1"/>
  <c r="H30" i="1" s="1"/>
  <c r="G94" i="1"/>
  <c r="I94" i="1" s="1"/>
  <c r="H94" i="1" s="1"/>
  <c r="G68" i="1"/>
  <c r="I68" i="1" s="1"/>
  <c r="H68" i="1" s="1"/>
  <c r="G38" i="1"/>
  <c r="I38" i="1" s="1"/>
  <c r="H38" i="1" s="1"/>
  <c r="G88" i="1"/>
  <c r="I88" i="1" s="1"/>
  <c r="H88" i="1" s="1"/>
  <c r="G83" i="1"/>
  <c r="I83" i="1" s="1"/>
  <c r="H83" i="1" s="1"/>
  <c r="D85" i="2"/>
  <c r="B74" i="5"/>
  <c r="D37" i="2"/>
  <c r="G14" i="1"/>
  <c r="I14" i="1" s="1"/>
  <c r="H14" i="1" s="1"/>
  <c r="G21" i="1"/>
  <c r="I21" i="1" s="1"/>
  <c r="H21" i="1" s="1"/>
  <c r="B141" i="1"/>
  <c r="B16" i="1"/>
  <c r="B146" i="1"/>
  <c r="B163" i="1"/>
  <c r="G121" i="1"/>
  <c r="I121" i="1" s="1"/>
  <c r="H121" i="1" s="1"/>
  <c r="A76" i="23"/>
  <c r="B56" i="1"/>
  <c r="G105" i="1"/>
  <c r="I105" i="1" s="1"/>
  <c r="H105" i="1" s="1"/>
  <c r="B86" i="5"/>
  <c r="G10" i="1"/>
  <c r="I10" i="1" s="1"/>
  <c r="H10" i="1" s="1"/>
  <c r="G59" i="1"/>
  <c r="I59" i="1" s="1"/>
  <c r="H59" i="1" s="1"/>
  <c r="G127" i="1"/>
  <c r="I127" i="1" s="1"/>
  <c r="H127" i="1" s="1"/>
  <c r="G48" i="1"/>
  <c r="I48" i="1" s="1"/>
  <c r="H48" i="1" s="1"/>
  <c r="G77" i="1"/>
  <c r="I77" i="1" s="1"/>
  <c r="H77" i="1" s="1"/>
  <c r="G69" i="1"/>
  <c r="I69" i="1" s="1"/>
  <c r="H69" i="1" s="1"/>
  <c r="G137" i="1"/>
  <c r="G29" i="1"/>
  <c r="I29" i="1" s="1"/>
  <c r="H29" i="1" s="1"/>
  <c r="B125" i="1"/>
  <c r="G142" i="1"/>
  <c r="I142" i="1" s="1"/>
  <c r="H142" i="1" s="1"/>
  <c r="B161" i="1"/>
  <c r="G152" i="1"/>
  <c r="I152" i="1" s="1"/>
  <c r="H152" i="1" s="1"/>
  <c r="G158" i="1"/>
  <c r="I158" i="1" s="1"/>
  <c r="H158" i="1" s="1"/>
  <c r="B164" i="1"/>
  <c r="B63" i="5"/>
  <c r="G114" i="1"/>
  <c r="I114" i="1" s="1"/>
  <c r="H114" i="1" s="1"/>
  <c r="G18" i="1"/>
  <c r="I18" i="1" s="1"/>
  <c r="H18" i="1" s="1"/>
  <c r="A22" i="23"/>
  <c r="G155" i="1"/>
  <c r="D75" i="2"/>
  <c r="B33" i="1"/>
  <c r="G33" i="1"/>
  <c r="I33" i="1" s="1"/>
  <c r="H33" i="1" s="1"/>
  <c r="G144" i="1"/>
  <c r="I144" i="1" s="1"/>
  <c r="H144" i="1" s="1"/>
  <c r="B144" i="1"/>
  <c r="G49" i="1"/>
  <c r="I49" i="1" s="1"/>
  <c r="H49" i="1" s="1"/>
  <c r="B49" i="1"/>
  <c r="B51" i="1"/>
  <c r="B90" i="1"/>
  <c r="G63" i="1"/>
  <c r="I63" i="1" s="1"/>
  <c r="H63" i="1" s="1"/>
  <c r="B63" i="1"/>
  <c r="B55" i="1"/>
  <c r="B131" i="1"/>
  <c r="G44" i="1"/>
  <c r="I44" i="1" s="1"/>
  <c r="H44" i="1" s="1"/>
  <c r="B44" i="1"/>
  <c r="B58" i="1"/>
  <c r="B118" i="1"/>
  <c r="B81" i="1"/>
  <c r="B112" i="1"/>
  <c r="B50" i="1"/>
  <c r="B130" i="1"/>
  <c r="G80" i="1"/>
  <c r="I80" i="1" s="1"/>
  <c r="H80" i="1" s="1"/>
  <c r="B80" i="1"/>
  <c r="G13" i="1"/>
  <c r="I13" i="1" s="1"/>
  <c r="H13" i="1" s="1"/>
  <c r="B13" i="1"/>
  <c r="B150" i="1"/>
  <c r="G147" i="1"/>
  <c r="B147" i="1"/>
  <c r="B154" i="1"/>
  <c r="B86" i="1"/>
  <c r="G104" i="1"/>
  <c r="I104" i="1" s="1"/>
  <c r="H104" i="1" s="1"/>
  <c r="B104" i="1"/>
  <c r="G109" i="1"/>
  <c r="I109" i="1" s="1"/>
  <c r="H109" i="1" s="1"/>
  <c r="B109" i="1"/>
  <c r="G143" i="1"/>
  <c r="I143" i="1" s="1"/>
  <c r="H143" i="1" s="1"/>
  <c r="B143" i="1"/>
  <c r="B159" i="1"/>
  <c r="B101" i="1"/>
  <c r="G101" i="1"/>
  <c r="I101" i="1" s="1"/>
  <c r="H101" i="1" s="1"/>
  <c r="G11" i="1"/>
  <c r="I11" i="1" s="1"/>
  <c r="H11" i="1" s="1"/>
  <c r="B11" i="1"/>
  <c r="B70" i="1"/>
  <c r="B97" i="1"/>
  <c r="G92" i="1"/>
  <c r="I92" i="1" s="1"/>
  <c r="H92" i="1" s="1"/>
  <c r="B92" i="1"/>
  <c r="G62" i="1"/>
  <c r="I62" i="1" s="1"/>
  <c r="H62" i="1" s="1"/>
  <c r="B62" i="1"/>
  <c r="B117" i="1"/>
  <c r="B89" i="1"/>
  <c r="G89" i="1"/>
  <c r="I89" i="1" s="1"/>
  <c r="H89" i="1" s="1"/>
  <c r="B32" i="1"/>
  <c r="B107" i="1"/>
  <c r="B87" i="1"/>
  <c r="B119" i="1"/>
  <c r="B135" i="1"/>
  <c r="B115" i="1"/>
  <c r="B39" i="1"/>
  <c r="G120" i="1"/>
  <c r="I120" i="1" s="1"/>
  <c r="H120" i="1" s="1"/>
  <c r="B120" i="1"/>
  <c r="B36" i="1"/>
  <c r="G42" i="1"/>
  <c r="I42" i="1" s="1"/>
  <c r="H42" i="1" s="1"/>
  <c r="B42" i="1"/>
  <c r="B78" i="1"/>
  <c r="G149" i="1"/>
  <c r="I149" i="1" s="1"/>
  <c r="H149" i="1" s="1"/>
  <c r="B149" i="1"/>
  <c r="B75" i="1"/>
  <c r="B85" i="1"/>
  <c r="B43" i="1"/>
  <c r="G43" i="1"/>
  <c r="I43" i="1" s="1"/>
  <c r="H43" i="1" s="1"/>
  <c r="G34" i="1"/>
  <c r="I34" i="1" s="1"/>
  <c r="H34" i="1" s="1"/>
  <c r="B34" i="1"/>
  <c r="G27" i="1"/>
  <c r="I27" i="1" s="1"/>
  <c r="H27" i="1" s="1"/>
  <c r="B27" i="1"/>
  <c r="B128" i="1"/>
  <c r="B41" i="1"/>
  <c r="B79" i="1"/>
  <c r="G98" i="1"/>
  <c r="I98" i="1" s="1"/>
  <c r="H98" i="1" s="1"/>
  <c r="B98" i="1"/>
  <c r="G156" i="1"/>
  <c r="I156" i="1" s="1"/>
  <c r="H156" i="1" s="1"/>
  <c r="B156" i="1"/>
  <c r="B53" i="1"/>
  <c r="G53" i="1"/>
  <c r="I53" i="1" s="1"/>
  <c r="H53" i="1" s="1"/>
  <c r="B111" i="1"/>
  <c r="G37" i="1"/>
  <c r="I37" i="1" s="1"/>
  <c r="H37" i="1" s="1"/>
  <c r="B37" i="1"/>
  <c r="B157" i="1"/>
  <c r="B31" i="1"/>
  <c r="B160" i="1"/>
  <c r="G22" i="1"/>
  <c r="I22" i="1" s="1"/>
  <c r="H22" i="1" s="1"/>
  <c r="B22" i="1"/>
  <c r="G23" i="1"/>
  <c r="I23" i="1" s="1"/>
  <c r="H23" i="1" s="1"/>
  <c r="B23" i="1"/>
  <c r="G106" i="1"/>
  <c r="I106" i="1" s="1"/>
  <c r="H106" i="1" s="1"/>
  <c r="B106" i="1"/>
  <c r="B136" i="1"/>
  <c r="B132" i="1"/>
  <c r="G133" i="1"/>
  <c r="B133" i="1"/>
  <c r="G25" i="1"/>
  <c r="I25" i="1" s="1"/>
  <c r="H25" i="1" s="1"/>
  <c r="B25" i="1"/>
  <c r="B73" i="1"/>
  <c r="B103" i="1"/>
  <c r="G103" i="1"/>
  <c r="I103" i="1" s="1"/>
  <c r="H103" i="1" s="1"/>
  <c r="G28" i="1"/>
  <c r="I28" i="1" s="1"/>
  <c r="H28" i="1" s="1"/>
  <c r="B28" i="1"/>
  <c r="B65" i="1"/>
  <c r="G65" i="1"/>
  <c r="I65" i="1" s="1"/>
  <c r="H65" i="1" s="1"/>
  <c r="G148" i="1"/>
  <c r="I148" i="1" s="1"/>
  <c r="H148" i="1" s="1"/>
  <c r="B148" i="1"/>
  <c r="G134" i="1"/>
  <c r="I134" i="1" s="1"/>
  <c r="H134" i="1" s="1"/>
  <c r="B134" i="1"/>
  <c r="G108" i="1"/>
  <c r="I108" i="1" s="1"/>
  <c r="H108" i="1" s="1"/>
  <c r="B108" i="1"/>
  <c r="G26" i="1"/>
  <c r="I26" i="1" s="1"/>
  <c r="H26" i="1" s="1"/>
  <c r="B26" i="1"/>
  <c r="B35" i="1"/>
  <c r="G15" i="1"/>
  <c r="I15" i="1" s="1"/>
  <c r="H15" i="1" s="1"/>
  <c r="B15" i="1"/>
  <c r="G100" i="1"/>
  <c r="I100" i="1" s="1"/>
  <c r="H100" i="1" s="1"/>
  <c r="B100" i="1"/>
  <c r="G46" i="1"/>
  <c r="I46" i="1" s="1"/>
  <c r="H46" i="1" s="1"/>
  <c r="B46" i="1"/>
  <c r="A50" i="23"/>
  <c r="B57" i="1"/>
  <c r="B12" i="1"/>
  <c r="B139" i="1"/>
  <c r="G99" i="1"/>
  <c r="I99" i="1" s="1"/>
  <c r="H99" i="1" s="1"/>
  <c r="B99" i="1"/>
  <c r="B157" i="23"/>
  <c r="A72" i="23"/>
  <c r="A80" i="23"/>
  <c r="A92" i="23"/>
  <c r="A6" i="23"/>
  <c r="A93" i="23"/>
  <c r="A111" i="23"/>
  <c r="A46" i="23"/>
  <c r="B158" i="23"/>
  <c r="A29" i="23"/>
  <c r="A55" i="23"/>
  <c r="A152" i="23"/>
  <c r="A136" i="23"/>
  <c r="A150" i="23"/>
  <c r="A73" i="23"/>
  <c r="A5" i="23"/>
  <c r="A128" i="23"/>
  <c r="A15" i="23"/>
  <c r="A4" i="23"/>
  <c r="A25" i="23"/>
  <c r="A68" i="23"/>
  <c r="A71" i="23"/>
  <c r="L145" i="10"/>
  <c r="M155" i="10"/>
  <c r="L155" i="10"/>
  <c r="M145" i="10"/>
  <c r="K147" i="10"/>
  <c r="K165" i="10"/>
  <c r="J147" i="10"/>
  <c r="L146" i="10"/>
  <c r="J146" i="10"/>
  <c r="M161" i="10"/>
  <c r="J161" i="10"/>
  <c r="J79" i="10"/>
  <c r="K79" i="10"/>
  <c r="L79" i="10"/>
  <c r="L87" i="10"/>
  <c r="L75" i="10"/>
  <c r="K75" i="10"/>
  <c r="L60" i="10"/>
  <c r="I61" i="10"/>
  <c r="J60" i="10"/>
  <c r="J51" i="10"/>
  <c r="J52" i="10"/>
  <c r="M39" i="10"/>
  <c r="L51" i="10"/>
  <c r="M52" i="10"/>
  <c r="K41" i="10"/>
  <c r="M51" i="10"/>
  <c r="M38" i="10"/>
  <c r="A30" i="23"/>
  <c r="A102" i="23"/>
  <c r="A43" i="23"/>
  <c r="A132" i="23"/>
  <c r="A123" i="23"/>
  <c r="A24" i="23"/>
  <c r="A112" i="23"/>
  <c r="A78" i="23"/>
  <c r="A39" i="23"/>
  <c r="F39" i="23" s="1"/>
  <c r="A82" i="23"/>
  <c r="A32" i="23"/>
  <c r="A44" i="23"/>
  <c r="A85" i="23"/>
  <c r="B41" i="5"/>
  <c r="A153" i="23"/>
  <c r="B153" i="23" s="1"/>
  <c r="A113" i="23"/>
  <c r="A108" i="23"/>
  <c r="A104" i="23"/>
  <c r="M158" i="10"/>
  <c r="L158" i="10"/>
  <c r="J158" i="10"/>
  <c r="K158" i="10"/>
  <c r="J152" i="10"/>
  <c r="K152" i="10"/>
  <c r="M152" i="10"/>
  <c r="L152" i="10"/>
  <c r="M162" i="10"/>
  <c r="L162" i="10"/>
  <c r="M156" i="10"/>
  <c r="L156" i="10"/>
  <c r="K156" i="10"/>
  <c r="M150" i="10"/>
  <c r="L150" i="10"/>
  <c r="J150" i="10"/>
  <c r="K150" i="10"/>
  <c r="J125" i="10"/>
  <c r="L125" i="10"/>
  <c r="K125" i="10"/>
  <c r="M127" i="10"/>
  <c r="K107" i="10"/>
  <c r="J64" i="10"/>
  <c r="K66" i="10"/>
  <c r="L55" i="10"/>
  <c r="K36" i="10"/>
  <c r="L38" i="10"/>
  <c r="K38" i="10"/>
  <c r="L36" i="10"/>
  <c r="M55" i="10"/>
  <c r="J53" i="10"/>
  <c r="M48" i="10"/>
  <c r="L48" i="10"/>
  <c r="K48" i="10"/>
  <c r="J48" i="10"/>
  <c r="J49" i="10"/>
  <c r="M49" i="10"/>
  <c r="L49" i="10"/>
  <c r="K49" i="10"/>
  <c r="K37" i="10"/>
  <c r="L37" i="10"/>
  <c r="M46" i="10"/>
  <c r="L46" i="10"/>
  <c r="J47" i="10"/>
  <c r="L50" i="10"/>
  <c r="J50" i="10"/>
  <c r="J35" i="10"/>
  <c r="L35" i="10"/>
  <c r="M35" i="10"/>
  <c r="L53" i="10"/>
  <c r="M47" i="10"/>
  <c r="J40" i="10"/>
  <c r="K40" i="10"/>
  <c r="L40" i="10"/>
  <c r="M40" i="10"/>
  <c r="K50" i="10"/>
  <c r="J46" i="10"/>
  <c r="J44" i="10"/>
  <c r="L44" i="10"/>
  <c r="M44" i="10"/>
  <c r="K44" i="10"/>
  <c r="K47" i="10"/>
  <c r="L54" i="10"/>
  <c r="K54" i="10"/>
  <c r="J54" i="10"/>
  <c r="A27" i="23"/>
  <c r="A149" i="23"/>
  <c r="B6" i="17"/>
  <c r="A20" i="23"/>
  <c r="A83" i="23"/>
  <c r="A90" i="23"/>
  <c r="A66" i="23"/>
  <c r="A79" i="23"/>
  <c r="A37" i="23"/>
  <c r="A34" i="23"/>
  <c r="A28" i="23"/>
  <c r="A105" i="23"/>
  <c r="A97" i="23"/>
  <c r="A147" i="23"/>
  <c r="A8" i="23"/>
  <c r="A18" i="23"/>
  <c r="A124" i="23"/>
  <c r="A74" i="23"/>
  <c r="A94" i="23"/>
  <c r="A96" i="23"/>
  <c r="A91" i="23"/>
  <c r="A35" i="23"/>
  <c r="F35" i="23" s="1"/>
  <c r="B7" i="26"/>
  <c r="D7" i="26" s="1"/>
  <c r="M114" i="10"/>
  <c r="M116" i="10"/>
  <c r="J116" i="10"/>
  <c r="K116" i="10"/>
  <c r="L116" i="10"/>
  <c r="K102" i="10"/>
  <c r="J102" i="10"/>
  <c r="M102" i="10"/>
  <c r="L102" i="10"/>
  <c r="K69" i="10"/>
  <c r="L69" i="10"/>
  <c r="M69" i="10"/>
  <c r="J69" i="10"/>
  <c r="J105" i="10"/>
  <c r="K105" i="10"/>
  <c r="M105" i="10"/>
  <c r="L105" i="10"/>
  <c r="L110" i="10"/>
  <c r="J110" i="10"/>
  <c r="M110" i="10"/>
  <c r="K68" i="10"/>
  <c r="M68" i="10"/>
  <c r="L68" i="10"/>
  <c r="J68" i="10"/>
  <c r="L128" i="10"/>
  <c r="J128" i="10"/>
  <c r="L136" i="10"/>
  <c r="K136" i="10"/>
  <c r="M136" i="10"/>
  <c r="J136" i="10"/>
  <c r="M70" i="10"/>
  <c r="J70" i="10"/>
  <c r="K70" i="10"/>
  <c r="L70" i="10"/>
  <c r="K83" i="10"/>
  <c r="J85" i="10"/>
  <c r="I123" i="10"/>
  <c r="J121" i="10"/>
  <c r="M71" i="10"/>
  <c r="K71" i="10"/>
  <c r="J71" i="10"/>
  <c r="L103" i="10"/>
  <c r="K103" i="10"/>
  <c r="M103" i="10"/>
  <c r="J111" i="10"/>
  <c r="K111" i="10"/>
  <c r="L111" i="10"/>
  <c r="L73" i="10"/>
  <c r="J73" i="10"/>
  <c r="K73" i="10"/>
  <c r="M73" i="10"/>
  <c r="M121" i="10"/>
  <c r="M83" i="10"/>
  <c r="M81" i="10"/>
  <c r="K81" i="10"/>
  <c r="J81" i="10"/>
  <c r="L83" i="10"/>
  <c r="L66" i="10"/>
  <c r="M117" i="10"/>
  <c r="J117" i="10"/>
  <c r="K80" i="10"/>
  <c r="L107" i="10"/>
  <c r="J114" i="10"/>
  <c r="K118" i="10"/>
  <c r="J118" i="10"/>
  <c r="L118" i="10"/>
  <c r="M118" i="10"/>
  <c r="J122" i="10"/>
  <c r="L122" i="10"/>
  <c r="M122" i="10"/>
  <c r="K122" i="10"/>
  <c r="K95" i="10"/>
  <c r="M95" i="10"/>
  <c r="J95" i="10"/>
  <c r="L134" i="10"/>
  <c r="M134" i="10"/>
  <c r="K134" i="10"/>
  <c r="J134" i="10"/>
  <c r="J98" i="10"/>
  <c r="K63" i="10"/>
  <c r="L63" i="10"/>
  <c r="L99" i="10"/>
  <c r="M99" i="10"/>
  <c r="J99" i="10"/>
  <c r="K98" i="10"/>
  <c r="J108" i="10"/>
  <c r="L108" i="10"/>
  <c r="K108" i="10"/>
  <c r="M108" i="10"/>
  <c r="K104" i="10"/>
  <c r="J104" i="10"/>
  <c r="M104" i="10"/>
  <c r="L104" i="10"/>
  <c r="K74" i="10"/>
  <c r="J74" i="10"/>
  <c r="L74" i="10"/>
  <c r="M74" i="10"/>
  <c r="M128" i="10"/>
  <c r="J63" i="10"/>
  <c r="K89" i="10"/>
  <c r="J89" i="10"/>
  <c r="L89" i="10"/>
  <c r="J119" i="10"/>
  <c r="M119" i="10"/>
  <c r="K119" i="10"/>
  <c r="M100" i="10"/>
  <c r="K100" i="10"/>
  <c r="L100" i="10"/>
  <c r="J100" i="10"/>
  <c r="L130" i="10"/>
  <c r="J130" i="10"/>
  <c r="K130" i="10"/>
  <c r="M130" i="10"/>
  <c r="I76" i="10"/>
  <c r="M82" i="10"/>
  <c r="K82" i="10"/>
  <c r="L71" i="10"/>
  <c r="L85" i="10"/>
  <c r="J107" i="10"/>
  <c r="K117" i="10"/>
  <c r="I137" i="10"/>
  <c r="J97" i="10"/>
  <c r="L97" i="10"/>
  <c r="M97" i="10"/>
  <c r="K97" i="10"/>
  <c r="J112" i="10"/>
  <c r="L112" i="10"/>
  <c r="M112" i="10"/>
  <c r="K112" i="10"/>
  <c r="M106" i="10"/>
  <c r="L106" i="10"/>
  <c r="J106" i="10"/>
  <c r="K106" i="10"/>
  <c r="J82" i="10"/>
  <c r="J66" i="10"/>
  <c r="L81" i="10"/>
  <c r="L121" i="10"/>
  <c r="K127" i="10"/>
  <c r="K64" i="10"/>
  <c r="M64" i="10"/>
  <c r="M109" i="10"/>
  <c r="K109" i="10"/>
  <c r="L109" i="10"/>
  <c r="J109" i="10"/>
  <c r="J101" i="10"/>
  <c r="K101" i="10"/>
  <c r="M101" i="10"/>
  <c r="L101" i="10"/>
  <c r="L98" i="10"/>
  <c r="L114" i="10"/>
  <c r="K128" i="10"/>
  <c r="L115" i="10"/>
  <c r="J115" i="10"/>
  <c r="M115" i="10"/>
  <c r="K115" i="10"/>
  <c r="M120" i="10"/>
  <c r="L120" i="10"/>
  <c r="K120" i="10"/>
  <c r="J120" i="10"/>
  <c r="K113" i="10"/>
  <c r="J113" i="10"/>
  <c r="M113" i="10"/>
  <c r="L113" i="10"/>
  <c r="M87" i="10"/>
  <c r="K87" i="10"/>
  <c r="K88" i="10"/>
  <c r="M88" i="10"/>
  <c r="J88" i="10"/>
  <c r="J160" i="10"/>
  <c r="K160" i="10"/>
  <c r="M160" i="10"/>
  <c r="L160" i="10"/>
  <c r="J144" i="10"/>
  <c r="K144" i="10"/>
  <c r="M144" i="10"/>
  <c r="J139" i="10"/>
  <c r="M139" i="10"/>
  <c r="L139" i="10"/>
  <c r="K139" i="10"/>
  <c r="J138" i="10"/>
  <c r="L138" i="10"/>
  <c r="M138" i="10"/>
  <c r="K138" i="10"/>
  <c r="L92" i="10"/>
  <c r="M92" i="10"/>
  <c r="J92" i="10"/>
  <c r="K92" i="10"/>
  <c r="K93" i="10"/>
  <c r="L93" i="10"/>
  <c r="J93" i="10"/>
  <c r="M93" i="10"/>
  <c r="M84" i="10"/>
  <c r="K84" i="10"/>
  <c r="J84" i="10"/>
  <c r="L84" i="10"/>
  <c r="L80" i="10"/>
  <c r="M80" i="10"/>
  <c r="J91" i="10"/>
  <c r="M91" i="10"/>
  <c r="L91" i="10"/>
  <c r="K91" i="10"/>
  <c r="L77" i="10"/>
  <c r="M77" i="10"/>
  <c r="J77" i="10"/>
  <c r="K77" i="10"/>
  <c r="L86" i="10"/>
  <c r="J86" i="10"/>
  <c r="M86" i="10"/>
  <c r="K86" i="10"/>
  <c r="L78" i="10"/>
  <c r="K78" i="10"/>
  <c r="J78" i="10"/>
  <c r="M78" i="10"/>
  <c r="C3" i="25"/>
  <c r="C192" i="1" s="1"/>
  <c r="K11" i="1" s="1"/>
  <c r="C11" i="25"/>
  <c r="C200" i="1" s="1"/>
  <c r="K19" i="1" s="1"/>
  <c r="C6" i="25"/>
  <c r="C195" i="1" s="1"/>
  <c r="K14" i="1" s="1"/>
  <c r="C19" i="25"/>
  <c r="C209" i="1" s="1"/>
  <c r="K28" i="1" s="1"/>
  <c r="C13" i="25"/>
  <c r="C202" i="1" s="1"/>
  <c r="K21" i="1" s="1"/>
  <c r="C10" i="25"/>
  <c r="C4" i="25"/>
  <c r="C20" i="25"/>
  <c r="C18" i="25"/>
  <c r="C9" i="25"/>
  <c r="C15" i="25"/>
  <c r="C12" i="25"/>
  <c r="C17" i="25"/>
  <c r="C21" i="25"/>
  <c r="C7" i="25"/>
  <c r="C2" i="25"/>
  <c r="C16" i="25"/>
  <c r="C14" i="25"/>
  <c r="B155" i="23"/>
  <c r="A141" i="23"/>
  <c r="A56" i="23"/>
  <c r="A125" i="23"/>
  <c r="A142" i="23"/>
  <c r="A19" i="23"/>
  <c r="A143" i="23"/>
  <c r="K157" i="10"/>
  <c r="L157" i="10"/>
  <c r="M157" i="10"/>
  <c r="J157" i="10"/>
  <c r="A100" i="23"/>
  <c r="C53" i="5"/>
  <c r="D53" i="5" s="1"/>
  <c r="K166" i="10"/>
  <c r="L166" i="10"/>
  <c r="J166" i="10"/>
  <c r="M166" i="10"/>
  <c r="A26" i="23"/>
  <c r="C116" i="5"/>
  <c r="D116" i="5" s="1"/>
  <c r="A63" i="23"/>
  <c r="A16" i="23"/>
  <c r="J159" i="10"/>
  <c r="K159" i="10"/>
  <c r="L159" i="10"/>
  <c r="M159" i="10"/>
  <c r="A121" i="23"/>
  <c r="A48" i="23"/>
  <c r="A137" i="23"/>
  <c r="C48" i="5"/>
  <c r="D48" i="5" s="1"/>
  <c r="A140" i="23"/>
  <c r="A127" i="23"/>
  <c r="A101" i="23"/>
  <c r="J142" i="10"/>
  <c r="L142" i="10"/>
  <c r="M142" i="10"/>
  <c r="K142" i="10"/>
  <c r="I167" i="10"/>
  <c r="C71" i="5"/>
  <c r="D71" i="5" s="1"/>
  <c r="A51" i="23"/>
  <c r="K163" i="10"/>
  <c r="L163" i="10"/>
  <c r="J163" i="10"/>
  <c r="M163" i="10"/>
  <c r="A42" i="23"/>
  <c r="M90" i="10"/>
  <c r="I96" i="10"/>
  <c r="J90" i="10"/>
  <c r="K90" i="10"/>
  <c r="L90" i="10"/>
  <c r="A99" i="23"/>
  <c r="A36" i="23"/>
  <c r="F36" i="23" s="1"/>
  <c r="L143" i="10"/>
  <c r="K143" i="10"/>
  <c r="M143" i="10"/>
  <c r="J143" i="10"/>
  <c r="C197" i="1"/>
  <c r="K16" i="1" s="1"/>
  <c r="J21" i="23"/>
  <c r="L18" i="23" s="1"/>
  <c r="A58" i="23"/>
  <c r="A21" i="23"/>
  <c r="A129" i="23"/>
  <c r="A126" i="23"/>
  <c r="B6" i="23" l="1"/>
  <c r="F6" i="23"/>
  <c r="B154" i="23"/>
  <c r="F154" i="23"/>
  <c r="B99" i="23"/>
  <c r="F99" i="23"/>
  <c r="B51" i="23"/>
  <c r="F51" i="23"/>
  <c r="B26" i="23"/>
  <c r="F26" i="23"/>
  <c r="B19" i="23"/>
  <c r="F19" i="23"/>
  <c r="B96" i="23"/>
  <c r="F96" i="23"/>
  <c r="B37" i="23"/>
  <c r="F37" i="23"/>
  <c r="B5" i="23"/>
  <c r="F5" i="23"/>
  <c r="B92" i="23"/>
  <c r="F92" i="23"/>
  <c r="B106" i="23"/>
  <c r="F106" i="23"/>
  <c r="B145" i="23"/>
  <c r="F145" i="23"/>
  <c r="B130" i="23"/>
  <c r="F130" i="23"/>
  <c r="B88" i="23"/>
  <c r="F88" i="23"/>
  <c r="B116" i="23"/>
  <c r="F116" i="23"/>
  <c r="B126" i="23"/>
  <c r="F126" i="23"/>
  <c r="B137" i="23"/>
  <c r="F137" i="23"/>
  <c r="B79" i="23"/>
  <c r="F79" i="23"/>
  <c r="B78" i="23"/>
  <c r="F78" i="23"/>
  <c r="B9" i="23"/>
  <c r="F9" i="23"/>
  <c r="B129" i="23"/>
  <c r="F129" i="23"/>
  <c r="B150" i="23"/>
  <c r="F150" i="23"/>
  <c r="B65" i="23"/>
  <c r="F65" i="23"/>
  <c r="B120" i="23"/>
  <c r="F120" i="23"/>
  <c r="B109" i="23"/>
  <c r="F109" i="23"/>
  <c r="B61" i="23"/>
  <c r="F61" i="23"/>
  <c r="B11" i="23"/>
  <c r="F11" i="23"/>
  <c r="B21" i="23"/>
  <c r="F21" i="23"/>
  <c r="B121" i="23"/>
  <c r="F121" i="23"/>
  <c r="B56" i="23"/>
  <c r="F56" i="23"/>
  <c r="B74" i="23"/>
  <c r="F74" i="23"/>
  <c r="B104" i="23"/>
  <c r="F104" i="23"/>
  <c r="B24" i="23"/>
  <c r="F24" i="23"/>
  <c r="B136" i="23"/>
  <c r="F136" i="23"/>
  <c r="B131" i="23"/>
  <c r="F131" i="23"/>
  <c r="B119" i="23"/>
  <c r="F119" i="23"/>
  <c r="B52" i="23"/>
  <c r="F52" i="23"/>
  <c r="B67" i="23"/>
  <c r="F67" i="23"/>
  <c r="B69" i="23"/>
  <c r="F69" i="23"/>
  <c r="B58" i="23"/>
  <c r="F58" i="23"/>
  <c r="B141" i="23"/>
  <c r="F141" i="23"/>
  <c r="B124" i="23"/>
  <c r="F124" i="23"/>
  <c r="B90" i="23"/>
  <c r="F90" i="23"/>
  <c r="B108" i="23"/>
  <c r="F108" i="23"/>
  <c r="B123" i="23"/>
  <c r="F123" i="23"/>
  <c r="B152" i="23"/>
  <c r="F152" i="23"/>
  <c r="B22" i="23"/>
  <c r="F22" i="23"/>
  <c r="B86" i="23"/>
  <c r="F86" i="23"/>
  <c r="B14" i="23"/>
  <c r="F14" i="23"/>
  <c r="B115" i="23"/>
  <c r="F115" i="23"/>
  <c r="B33" i="23"/>
  <c r="F33" i="23"/>
  <c r="B31" i="23"/>
  <c r="F31" i="23"/>
  <c r="F3" i="23"/>
  <c r="B18" i="23"/>
  <c r="F18" i="23"/>
  <c r="B132" i="23"/>
  <c r="F132" i="23"/>
  <c r="B55" i="23"/>
  <c r="F55" i="23"/>
  <c r="B122" i="23"/>
  <c r="F122" i="23"/>
  <c r="B84" i="23"/>
  <c r="F84" i="23"/>
  <c r="B53" i="23"/>
  <c r="F53" i="23"/>
  <c r="F2" i="23"/>
  <c r="B140" i="23"/>
  <c r="F140" i="23"/>
  <c r="B34" i="23"/>
  <c r="F34" i="23"/>
  <c r="B133" i="23"/>
  <c r="F133" i="23"/>
  <c r="B42" i="23"/>
  <c r="F42" i="23"/>
  <c r="B143" i="23"/>
  <c r="F143" i="23"/>
  <c r="B91" i="23"/>
  <c r="F91" i="23"/>
  <c r="B82" i="23"/>
  <c r="F82" i="23"/>
  <c r="B128" i="23"/>
  <c r="F128" i="23"/>
  <c r="B81" i="23"/>
  <c r="F81" i="23"/>
  <c r="B142" i="23"/>
  <c r="F142" i="23"/>
  <c r="B73" i="23"/>
  <c r="F73" i="23"/>
  <c r="B80" i="23"/>
  <c r="F80" i="23"/>
  <c r="B112" i="23"/>
  <c r="F112" i="23"/>
  <c r="B72" i="23"/>
  <c r="F72" i="23"/>
  <c r="B117" i="23"/>
  <c r="F117" i="23"/>
  <c r="B23" i="23"/>
  <c r="F23" i="23"/>
  <c r="B147" i="23"/>
  <c r="F147" i="23"/>
  <c r="B43" i="23"/>
  <c r="F43" i="23"/>
  <c r="B68" i="23"/>
  <c r="F68" i="23"/>
  <c r="B144" i="23"/>
  <c r="F144" i="23"/>
  <c r="B38" i="23"/>
  <c r="F38" i="23"/>
  <c r="B114" i="23"/>
  <c r="F114" i="23"/>
  <c r="B97" i="23"/>
  <c r="F97" i="23"/>
  <c r="B46" i="23"/>
  <c r="F46" i="23"/>
  <c r="B13" i="23"/>
  <c r="F13" i="23"/>
  <c r="B62" i="23"/>
  <c r="F62" i="23"/>
  <c r="B118" i="23"/>
  <c r="F118" i="23"/>
  <c r="B127" i="23"/>
  <c r="F127" i="23"/>
  <c r="B16" i="23"/>
  <c r="F16" i="23"/>
  <c r="B105" i="23"/>
  <c r="F105" i="23"/>
  <c r="B27" i="23"/>
  <c r="F27" i="23"/>
  <c r="B44" i="23"/>
  <c r="F44" i="23"/>
  <c r="B102" i="23"/>
  <c r="F102" i="23"/>
  <c r="B4" i="23"/>
  <c r="F4" i="23"/>
  <c r="B111" i="23"/>
  <c r="F111" i="23"/>
  <c r="B50" i="23"/>
  <c r="F50" i="23"/>
  <c r="B10" i="23"/>
  <c r="F10" i="23"/>
  <c r="B151" i="23"/>
  <c r="F151" i="23"/>
  <c r="B12" i="23"/>
  <c r="F12" i="23"/>
  <c r="B41" i="23"/>
  <c r="F41" i="23"/>
  <c r="B135" i="23"/>
  <c r="F135" i="23"/>
  <c r="B107" i="23"/>
  <c r="F107" i="23"/>
  <c r="B94" i="23"/>
  <c r="F94" i="23"/>
  <c r="B60" i="23"/>
  <c r="F60" i="23"/>
  <c r="B98" i="23"/>
  <c r="F98" i="23"/>
  <c r="B49" i="23"/>
  <c r="F49" i="23"/>
  <c r="B89" i="23"/>
  <c r="F89" i="23"/>
  <c r="B48" i="23"/>
  <c r="F48" i="23"/>
  <c r="B125" i="23"/>
  <c r="F125" i="23"/>
  <c r="B66" i="23"/>
  <c r="F66" i="23"/>
  <c r="B83" i="23"/>
  <c r="F83" i="23"/>
  <c r="B113" i="23"/>
  <c r="F113" i="23"/>
  <c r="B100" i="23"/>
  <c r="F100" i="23"/>
  <c r="B8" i="23"/>
  <c r="F8" i="23"/>
  <c r="B20" i="23"/>
  <c r="F20" i="23"/>
  <c r="B71" i="23"/>
  <c r="F71" i="23"/>
  <c r="B29" i="23"/>
  <c r="F29" i="23"/>
  <c r="B76" i="23"/>
  <c r="F76" i="23"/>
  <c r="B7" i="23"/>
  <c r="F7" i="23"/>
  <c r="B87" i="23"/>
  <c r="F87" i="23"/>
  <c r="B17" i="23"/>
  <c r="F17" i="23"/>
  <c r="B77" i="23"/>
  <c r="F77" i="23"/>
  <c r="B47" i="23"/>
  <c r="F47" i="23"/>
  <c r="B110" i="23"/>
  <c r="F110" i="23"/>
  <c r="B101" i="23"/>
  <c r="F101" i="23"/>
  <c r="B149" i="23"/>
  <c r="F149" i="23"/>
  <c r="B85" i="23"/>
  <c r="F85" i="23"/>
  <c r="B25" i="23"/>
  <c r="F25" i="23"/>
  <c r="B95" i="23"/>
  <c r="F95" i="23"/>
  <c r="B70" i="23"/>
  <c r="F70" i="23"/>
  <c r="B63" i="23"/>
  <c r="F63" i="23"/>
  <c r="B28" i="23"/>
  <c r="F28" i="23"/>
  <c r="B32" i="23"/>
  <c r="F32" i="23"/>
  <c r="B30" i="23"/>
  <c r="F30" i="23"/>
  <c r="B15" i="23"/>
  <c r="F15" i="23"/>
  <c r="B93" i="23"/>
  <c r="F93" i="23"/>
  <c r="B45" i="23"/>
  <c r="F45" i="23"/>
  <c r="B146" i="23"/>
  <c r="F146" i="23"/>
  <c r="B57" i="23"/>
  <c r="F57" i="23"/>
  <c r="D61" i="10"/>
  <c r="D173" i="10" s="1"/>
  <c r="C185" i="10" s="1"/>
  <c r="B32" i="10"/>
  <c r="F153" i="23"/>
  <c r="C85" i="3"/>
  <c r="C44" i="1"/>
  <c r="C49" i="1"/>
  <c r="C106" i="1"/>
  <c r="C61" i="3"/>
  <c r="B89" i="5"/>
  <c r="C33" i="1"/>
  <c r="D33" i="1" s="1"/>
  <c r="B75" i="5"/>
  <c r="C37" i="1"/>
  <c r="F61" i="10"/>
  <c r="D71" i="3"/>
  <c r="D53" i="3"/>
  <c r="D116" i="3"/>
  <c r="D48" i="3"/>
  <c r="G55" i="1"/>
  <c r="C89" i="3"/>
  <c r="C37" i="3"/>
  <c r="C68" i="1"/>
  <c r="C99" i="3"/>
  <c r="C92" i="1"/>
  <c r="D92" i="1" s="1"/>
  <c r="C42" i="3"/>
  <c r="C96" i="1"/>
  <c r="C82" i="1"/>
  <c r="C75" i="3"/>
  <c r="E6" i="1"/>
  <c r="I140" i="1" s="1"/>
  <c r="H140" i="1" s="1"/>
  <c r="F57" i="10"/>
  <c r="D57" i="10"/>
  <c r="D172" i="10" s="1"/>
  <c r="G137" i="10"/>
  <c r="E177" i="10" s="1"/>
  <c r="G57" i="10"/>
  <c r="D191" i="10" s="1"/>
  <c r="F137" i="10"/>
  <c r="E84" i="3"/>
  <c r="D84" i="23"/>
  <c r="D16" i="23"/>
  <c r="D126" i="1"/>
  <c r="D124" i="1"/>
  <c r="B99" i="5"/>
  <c r="B30" i="5"/>
  <c r="B26" i="5"/>
  <c r="D146" i="1"/>
  <c r="B85" i="5"/>
  <c r="B42" i="5"/>
  <c r="B61" i="5"/>
  <c r="D164" i="1"/>
  <c r="B37" i="5"/>
  <c r="D142" i="1"/>
  <c r="D138" i="1"/>
  <c r="I137" i="1"/>
  <c r="H137" i="1" s="1"/>
  <c r="I133" i="1"/>
  <c r="H133" i="1" s="1"/>
  <c r="I147" i="1"/>
  <c r="H147" i="1" s="1"/>
  <c r="I155" i="1"/>
  <c r="H155" i="1" s="1"/>
  <c r="D56" i="1"/>
  <c r="D116" i="1"/>
  <c r="D63" i="1"/>
  <c r="D16" i="1"/>
  <c r="D111" i="1"/>
  <c r="D52" i="1"/>
  <c r="D112" i="1"/>
  <c r="D100" i="1"/>
  <c r="D88" i="1"/>
  <c r="D29" i="1"/>
  <c r="D39" i="1"/>
  <c r="D35" i="1"/>
  <c r="D148" i="1"/>
  <c r="D64" i="1"/>
  <c r="D145" i="1"/>
  <c r="D152" i="1"/>
  <c r="D85" i="1"/>
  <c r="D86" i="1"/>
  <c r="D12" i="1"/>
  <c r="D46" i="1"/>
  <c r="D115" i="1"/>
  <c r="D93" i="1"/>
  <c r="D103" i="1"/>
  <c r="D94" i="1"/>
  <c r="D55" i="1"/>
  <c r="D27" i="1"/>
  <c r="D75" i="1"/>
  <c r="D42" i="1"/>
  <c r="D36" i="1"/>
  <c r="J26" i="23"/>
  <c r="L15" i="23" s="1"/>
  <c r="J36" i="23"/>
  <c r="L8" i="23" s="1"/>
  <c r="J23" i="23"/>
  <c r="J37" i="23"/>
  <c r="L7" i="23" s="1"/>
  <c r="F167" i="10"/>
  <c r="D137" i="10"/>
  <c r="D177" i="10" s="1"/>
  <c r="G123" i="10"/>
  <c r="E176" i="10" s="1"/>
  <c r="G76" i="10"/>
  <c r="E174" i="10" s="1"/>
  <c r="F76" i="10"/>
  <c r="L76" i="10"/>
  <c r="D76" i="10"/>
  <c r="D174" i="10" s="1"/>
  <c r="J32" i="23"/>
  <c r="L12" i="23" s="1"/>
  <c r="F96" i="10"/>
  <c r="G140" i="10"/>
  <c r="E178" i="10" s="1"/>
  <c r="F140" i="10"/>
  <c r="D140" i="10"/>
  <c r="D178" i="10" s="1"/>
  <c r="G167" i="10"/>
  <c r="E179" i="10" s="1"/>
  <c r="D96" i="10"/>
  <c r="D175" i="10" s="1"/>
  <c r="G96" i="10"/>
  <c r="E175" i="10" s="1"/>
  <c r="J33" i="23"/>
  <c r="L11" i="23" s="1"/>
  <c r="C203" i="1"/>
  <c r="K22" i="1" s="1"/>
  <c r="C193" i="1"/>
  <c r="K12" i="1" s="1"/>
  <c r="D90" i="1" s="1"/>
  <c r="J27" i="23"/>
  <c r="C191" i="1"/>
  <c r="K10" i="1" s="1"/>
  <c r="D57" i="1" s="1"/>
  <c r="J25" i="23"/>
  <c r="J39" i="23"/>
  <c r="L5" i="23" s="1"/>
  <c r="C211" i="1"/>
  <c r="K30" i="1" s="1"/>
  <c r="J30" i="23"/>
  <c r="C206" i="1"/>
  <c r="K25" i="1" s="1"/>
  <c r="C199" i="1"/>
  <c r="K18" i="1" s="1"/>
  <c r="D120" i="1" s="1"/>
  <c r="J35" i="23"/>
  <c r="L9" i="23" s="1"/>
  <c r="C201" i="1"/>
  <c r="K20" i="1" s="1"/>
  <c r="D133" i="1" s="1"/>
  <c r="J31" i="23"/>
  <c r="C194" i="1"/>
  <c r="K13" i="1" s="1"/>
  <c r="J22" i="23"/>
  <c r="L17" i="23" s="1"/>
  <c r="J28" i="23"/>
  <c r="L14" i="23" s="1"/>
  <c r="C204" i="1"/>
  <c r="K23" i="1" s="1"/>
  <c r="D11" i="1" s="1"/>
  <c r="J34" i="23"/>
  <c r="L10" i="23" s="1"/>
  <c r="C198" i="1"/>
  <c r="K17" i="1" s="1"/>
  <c r="D109" i="1" s="1"/>
  <c r="J29" i="23"/>
  <c r="L13" i="23" s="1"/>
  <c r="C205" i="1"/>
  <c r="K24" i="1" s="1"/>
  <c r="C208" i="1"/>
  <c r="K27" i="1" s="1"/>
  <c r="D158" i="1" s="1"/>
  <c r="J40" i="23"/>
  <c r="L4" i="23" s="1"/>
  <c r="J24" i="23"/>
  <c r="L16" i="23" s="1"/>
  <c r="C196" i="1"/>
  <c r="K15" i="1" s="1"/>
  <c r="D51" i="1" s="1"/>
  <c r="C210" i="1"/>
  <c r="K29" i="1" s="1"/>
  <c r="D62" i="1" s="1"/>
  <c r="J38" i="23"/>
  <c r="L6" i="23" s="1"/>
  <c r="D167" i="10"/>
  <c r="G123" i="1"/>
  <c r="D9" i="1"/>
  <c r="G60" i="1"/>
  <c r="G151" i="1"/>
  <c r="I151" i="1" s="1"/>
  <c r="H151" i="1" s="1"/>
  <c r="G78" i="1"/>
  <c r="E4" i="3" l="1"/>
  <c r="D15" i="10"/>
  <c r="E26" i="3"/>
  <c r="D5" i="10"/>
  <c r="E9" i="3"/>
  <c r="E29" i="3"/>
  <c r="D8" i="10"/>
  <c r="D13" i="10"/>
  <c r="E20" i="3"/>
  <c r="E28" i="3"/>
  <c r="D6" i="10"/>
  <c r="E22" i="3"/>
  <c r="D22" i="10"/>
  <c r="D10" i="10"/>
  <c r="D25" i="10"/>
  <c r="D11" i="10"/>
  <c r="D20" i="10"/>
  <c r="E2" i="3"/>
  <c r="E5" i="3"/>
  <c r="D2" i="10"/>
  <c r="C179" i="10"/>
  <c r="E167" i="10"/>
  <c r="B179" i="10" s="1"/>
  <c r="C178" i="10"/>
  <c r="E140" i="10"/>
  <c r="B178" i="10" s="1"/>
  <c r="C177" i="10"/>
  <c r="E137" i="10"/>
  <c r="B177" i="10" s="1"/>
  <c r="C175" i="10"/>
  <c r="E96" i="10"/>
  <c r="B175" i="10" s="1"/>
  <c r="C174" i="10"/>
  <c r="E76" i="10"/>
  <c r="B174" i="10" s="1"/>
  <c r="B186" i="10" s="1"/>
  <c r="C186" i="10" s="1"/>
  <c r="C173" i="10"/>
  <c r="B173" i="10"/>
  <c r="B185" i="10" s="1"/>
  <c r="C172" i="10"/>
  <c r="B22" i="17" s="1"/>
  <c r="B172" i="10"/>
  <c r="B191" i="10" s="1"/>
  <c r="C191" i="10" s="1"/>
  <c r="I24" i="10"/>
  <c r="I19" i="10"/>
  <c r="I2" i="10"/>
  <c r="I8" i="10"/>
  <c r="I14" i="10"/>
  <c r="I20" i="10"/>
  <c r="I26" i="10"/>
  <c r="I12" i="10"/>
  <c r="I13" i="10"/>
  <c r="I3" i="10"/>
  <c r="I9" i="10"/>
  <c r="I15" i="10"/>
  <c r="I21" i="10"/>
  <c r="I27" i="10"/>
  <c r="I4" i="10"/>
  <c r="I10" i="10"/>
  <c r="I16" i="10"/>
  <c r="I22" i="10"/>
  <c r="I28" i="10"/>
  <c r="I6" i="10"/>
  <c r="I30" i="10"/>
  <c r="I25" i="10"/>
  <c r="I5" i="10"/>
  <c r="I11" i="10"/>
  <c r="I17" i="10"/>
  <c r="I23" i="10"/>
  <c r="I29" i="10"/>
  <c r="I18" i="10"/>
  <c r="I7" i="10"/>
  <c r="I31" i="10"/>
  <c r="D41" i="1"/>
  <c r="I165" i="1"/>
  <c r="H165" i="1" s="1"/>
  <c r="D22" i="1"/>
  <c r="D49" i="1"/>
  <c r="D45" i="23"/>
  <c r="D157" i="23"/>
  <c r="D104" i="23"/>
  <c r="D20" i="23"/>
  <c r="D113" i="23"/>
  <c r="D141" i="23"/>
  <c r="D96" i="23"/>
  <c r="D28" i="23"/>
  <c r="D9" i="23"/>
  <c r="D4" i="23"/>
  <c r="D49" i="23"/>
  <c r="D86" i="23"/>
  <c r="D151" i="23"/>
  <c r="D145" i="23"/>
  <c r="D50" i="23"/>
  <c r="D15" i="23"/>
  <c r="D32" i="23"/>
  <c r="D55" i="23"/>
  <c r="D83" i="23"/>
  <c r="D108" i="23"/>
  <c r="D22" i="23"/>
  <c r="D79" i="23"/>
  <c r="D78" i="23"/>
  <c r="D102" i="23"/>
  <c r="D56" i="23"/>
  <c r="D57" i="23"/>
  <c r="D39" i="23"/>
  <c r="D81" i="23"/>
  <c r="D35" i="23"/>
  <c r="D68" i="23"/>
  <c r="D85" i="23"/>
  <c r="D87" i="23"/>
  <c r="D5" i="23"/>
  <c r="D93" i="23"/>
  <c r="D131" i="23"/>
  <c r="D48" i="23"/>
  <c r="D138" i="23"/>
  <c r="D109" i="23"/>
  <c r="D44" i="23"/>
  <c r="D126" i="23"/>
  <c r="D29" i="23"/>
  <c r="D26" i="23"/>
  <c r="D105" i="23"/>
  <c r="D135" i="23"/>
  <c r="K15" i="23"/>
  <c r="K13" i="23"/>
  <c r="K12" i="23"/>
  <c r="E176" i="23" s="1"/>
  <c r="K7" i="23"/>
  <c r="E166" i="23" s="1"/>
  <c r="G166" i="23" s="1"/>
  <c r="K10" i="23"/>
  <c r="K5" i="23"/>
  <c r="E178" i="23" s="1"/>
  <c r="K14" i="23"/>
  <c r="E167" i="23" s="1"/>
  <c r="C173" i="1" s="1"/>
  <c r="K6" i="23"/>
  <c r="E165" i="23" s="1"/>
  <c r="G165" i="23" s="1"/>
  <c r="K17" i="23"/>
  <c r="K16" i="23"/>
  <c r="E163" i="23" s="1"/>
  <c r="C169" i="1" s="1"/>
  <c r="K11" i="23"/>
  <c r="K4" i="23"/>
  <c r="K9" i="23"/>
  <c r="K3" i="23"/>
  <c r="K8" i="23"/>
  <c r="I163" i="1"/>
  <c r="H163" i="1" s="1"/>
  <c r="I129" i="1"/>
  <c r="H129" i="1" s="1"/>
  <c r="I54" i="1"/>
  <c r="H54" i="1" s="1"/>
  <c r="I70" i="1"/>
  <c r="H70" i="1" s="1"/>
  <c r="I97" i="1"/>
  <c r="H97" i="1" s="1"/>
  <c r="I136" i="1"/>
  <c r="H136" i="1" s="1"/>
  <c r="I138" i="1"/>
  <c r="H138" i="1" s="1"/>
  <c r="I41" i="1"/>
  <c r="H41" i="1" s="1"/>
  <c r="I86" i="1"/>
  <c r="H86" i="1" s="1"/>
  <c r="I117" i="1"/>
  <c r="H117" i="1" s="1"/>
  <c r="I61" i="1"/>
  <c r="H61" i="1" s="1"/>
  <c r="I72" i="1"/>
  <c r="H72" i="1" s="1"/>
  <c r="I17" i="1"/>
  <c r="H17" i="1" s="1"/>
  <c r="I113" i="1"/>
  <c r="H113" i="1" s="1"/>
  <c r="I58" i="1"/>
  <c r="H58" i="1" s="1"/>
  <c r="I135" i="1"/>
  <c r="H135" i="1" s="1"/>
  <c r="I35" i="1"/>
  <c r="H35" i="1" s="1"/>
  <c r="I84" i="1"/>
  <c r="H84" i="1" s="1"/>
  <c r="I24" i="1"/>
  <c r="H24" i="1" s="1"/>
  <c r="I71" i="1"/>
  <c r="H71" i="1" s="1"/>
  <c r="I76" i="1"/>
  <c r="H76" i="1" s="1"/>
  <c r="I31" i="1"/>
  <c r="H31" i="1" s="1"/>
  <c r="I164" i="1"/>
  <c r="H164" i="1" s="1"/>
  <c r="I112" i="1"/>
  <c r="H112" i="1" s="1"/>
  <c r="I139" i="1"/>
  <c r="H139" i="1" s="1"/>
  <c r="I81" i="1"/>
  <c r="H81" i="1" s="1"/>
  <c r="I119" i="1"/>
  <c r="H119" i="1" s="1"/>
  <c r="I20" i="1"/>
  <c r="H20" i="1" s="1"/>
  <c r="I115" i="1"/>
  <c r="H115" i="1" s="1"/>
  <c r="I85" i="1"/>
  <c r="H85" i="1" s="1"/>
  <c r="I64" i="1"/>
  <c r="H64" i="1" s="1"/>
  <c r="I154" i="1"/>
  <c r="H154" i="1" s="1"/>
  <c r="I93" i="1"/>
  <c r="H93" i="1" s="1"/>
  <c r="I90" i="1"/>
  <c r="H90" i="1" s="1"/>
  <c r="I159" i="1"/>
  <c r="H159" i="1" s="1"/>
  <c r="I124" i="1"/>
  <c r="H124" i="1" s="1"/>
  <c r="I51" i="1"/>
  <c r="H51" i="1" s="1"/>
  <c r="I116" i="1"/>
  <c r="H116" i="1" s="1"/>
  <c r="I32" i="1"/>
  <c r="H32" i="1" s="1"/>
  <c r="F23" i="1"/>
  <c r="I153" i="1"/>
  <c r="H153" i="1" s="1"/>
  <c r="I79" i="1"/>
  <c r="H79" i="1" s="1"/>
  <c r="I161" i="1"/>
  <c r="H161" i="1" s="1"/>
  <c r="I36" i="1"/>
  <c r="H36" i="1" s="1"/>
  <c r="F126" i="1"/>
  <c r="I132" i="1"/>
  <c r="H132" i="1" s="1"/>
  <c r="I16" i="1"/>
  <c r="H16" i="1" s="1"/>
  <c r="I74" i="1"/>
  <c r="H74" i="1" s="1"/>
  <c r="I126" i="1"/>
  <c r="H126" i="1" s="1"/>
  <c r="I9" i="1"/>
  <c r="H9" i="1" s="1"/>
  <c r="I111" i="1"/>
  <c r="H111" i="1" s="1"/>
  <c r="I50" i="1"/>
  <c r="H50" i="1" s="1"/>
  <c r="I146" i="1"/>
  <c r="H146" i="1" s="1"/>
  <c r="I40" i="1"/>
  <c r="H40" i="1" s="1"/>
  <c r="I131" i="1"/>
  <c r="H131" i="1" s="1"/>
  <c r="I130" i="1"/>
  <c r="H130" i="1" s="1"/>
  <c r="I125" i="1"/>
  <c r="H125" i="1" s="1"/>
  <c r="I66" i="1"/>
  <c r="H66" i="1" s="1"/>
  <c r="I75" i="1"/>
  <c r="H75" i="1" s="1"/>
  <c r="I122" i="1"/>
  <c r="H122" i="1" s="1"/>
  <c r="I73" i="1"/>
  <c r="H73" i="1" s="1"/>
  <c r="I45" i="1"/>
  <c r="H45" i="1" s="1"/>
  <c r="I128" i="1"/>
  <c r="H128" i="1" s="1"/>
  <c r="I160" i="1"/>
  <c r="H160" i="1" s="1"/>
  <c r="I39" i="1"/>
  <c r="H39" i="1" s="1"/>
  <c r="I102" i="1"/>
  <c r="H102" i="1" s="1"/>
  <c r="I12" i="1"/>
  <c r="H12" i="1" s="1"/>
  <c r="F91" i="1"/>
  <c r="I56" i="1"/>
  <c r="H56" i="1" s="1"/>
  <c r="I145" i="1"/>
  <c r="H145" i="1" s="1"/>
  <c r="I52" i="1"/>
  <c r="H52" i="1" s="1"/>
  <c r="I87" i="1"/>
  <c r="H87" i="1" s="1"/>
  <c r="I107" i="1"/>
  <c r="H107" i="1" s="1"/>
  <c r="I57" i="1"/>
  <c r="H57" i="1" s="1"/>
  <c r="I118" i="1"/>
  <c r="H118" i="1" s="1"/>
  <c r="I47" i="1"/>
  <c r="H47" i="1" s="1"/>
  <c r="E172" i="10"/>
  <c r="D189" i="10"/>
  <c r="E117" i="3"/>
  <c r="D117" i="23"/>
  <c r="E119" i="3"/>
  <c r="D119" i="23"/>
  <c r="D2" i="23"/>
  <c r="F146" i="1"/>
  <c r="D139" i="23"/>
  <c r="F124" i="1"/>
  <c r="D132" i="1"/>
  <c r="D110" i="1"/>
  <c r="D31" i="1"/>
  <c r="D98" i="1"/>
  <c r="D104" i="1"/>
  <c r="D135" i="1"/>
  <c r="D78" i="1"/>
  <c r="D61" i="1"/>
  <c r="D37" i="1"/>
  <c r="D144" i="1"/>
  <c r="D72" i="1"/>
  <c r="E139" i="3"/>
  <c r="D157" i="1"/>
  <c r="F109" i="1"/>
  <c r="E102" i="3"/>
  <c r="F100" i="1"/>
  <c r="E93" i="3"/>
  <c r="F29" i="1"/>
  <c r="F94" i="1"/>
  <c r="E87" i="3"/>
  <c r="F103" i="1"/>
  <c r="E96" i="3"/>
  <c r="F62" i="1"/>
  <c r="E55" i="3"/>
  <c r="F90" i="1"/>
  <c r="E83" i="3"/>
  <c r="F93" i="1"/>
  <c r="E86" i="3"/>
  <c r="F112" i="1"/>
  <c r="E105" i="3"/>
  <c r="F86" i="1"/>
  <c r="E79" i="3"/>
  <c r="F152" i="1"/>
  <c r="E145" i="3"/>
  <c r="F57" i="1"/>
  <c r="E50" i="3"/>
  <c r="F51" i="1"/>
  <c r="E44" i="3"/>
  <c r="F115" i="1"/>
  <c r="E108" i="3"/>
  <c r="F64" i="1"/>
  <c r="E57" i="3"/>
  <c r="F52" i="1"/>
  <c r="E45" i="3"/>
  <c r="F142" i="1"/>
  <c r="E135" i="3"/>
  <c r="F56" i="1"/>
  <c r="E49" i="3"/>
  <c r="F88" i="1"/>
  <c r="E81" i="3"/>
  <c r="F92" i="1"/>
  <c r="E85" i="3"/>
  <c r="F11" i="1"/>
  <c r="F133" i="1"/>
  <c r="E126" i="3"/>
  <c r="F148" i="1"/>
  <c r="E141" i="3"/>
  <c r="F111" i="1"/>
  <c r="E104" i="3"/>
  <c r="F85" i="1"/>
  <c r="E78" i="3"/>
  <c r="F138" i="1"/>
  <c r="E131" i="3"/>
  <c r="F36" i="1"/>
  <c r="F46" i="1"/>
  <c r="E39" i="3"/>
  <c r="F35" i="1"/>
  <c r="F16" i="1"/>
  <c r="F27" i="1"/>
  <c r="F55" i="1"/>
  <c r="E48" i="3"/>
  <c r="F145" i="1"/>
  <c r="E138" i="3"/>
  <c r="F158" i="1"/>
  <c r="E151" i="3"/>
  <c r="F120" i="1"/>
  <c r="E113" i="3"/>
  <c r="F42" i="1"/>
  <c r="E35" i="3"/>
  <c r="F12" i="1"/>
  <c r="F63" i="1"/>
  <c r="E56" i="3"/>
  <c r="E34" i="3"/>
  <c r="F75" i="1"/>
  <c r="E68" i="3"/>
  <c r="F33" i="1"/>
  <c r="F39" i="1"/>
  <c r="E32" i="3"/>
  <c r="F116" i="1"/>
  <c r="E109" i="3"/>
  <c r="F164" i="1"/>
  <c r="E157" i="3"/>
  <c r="D165" i="1"/>
  <c r="D163" i="1"/>
  <c r="D151" i="1"/>
  <c r="D162" i="1"/>
  <c r="D154" i="1"/>
  <c r="D156" i="1"/>
  <c r="D141" i="1"/>
  <c r="D134" i="1"/>
  <c r="D160" i="1"/>
  <c r="F160" i="1" s="1"/>
  <c r="D137" i="1"/>
  <c r="D131" i="1"/>
  <c r="D26" i="1"/>
  <c r="D139" i="1"/>
  <c r="D44" i="1"/>
  <c r="D101" i="1"/>
  <c r="D99" i="1"/>
  <c r="D15" i="1"/>
  <c r="D73" i="1"/>
  <c r="D79" i="1"/>
  <c r="D50" i="1"/>
  <c r="D106" i="1"/>
  <c r="D149" i="1"/>
  <c r="D80" i="1"/>
  <c r="D114" i="1"/>
  <c r="D54" i="1"/>
  <c r="D161" i="1"/>
  <c r="D155" i="1"/>
  <c r="D122" i="1"/>
  <c r="D118" i="1"/>
  <c r="D81" i="1"/>
  <c r="D65" i="1"/>
  <c r="D125" i="1"/>
  <c r="D30" i="1"/>
  <c r="D127" i="1"/>
  <c r="D66" i="1"/>
  <c r="D18" i="1"/>
  <c r="D67" i="1"/>
  <c r="D121" i="1"/>
  <c r="D14" i="1"/>
  <c r="D96" i="1"/>
  <c r="D83" i="1"/>
  <c r="D32" i="1"/>
  <c r="D159" i="1"/>
  <c r="D87" i="1"/>
  <c r="D143" i="1"/>
  <c r="D153" i="1"/>
  <c r="D28" i="1"/>
  <c r="D58" i="1"/>
  <c r="D70" i="1"/>
  <c r="D119" i="1"/>
  <c r="D43" i="1"/>
  <c r="D89" i="1"/>
  <c r="D140" i="1"/>
  <c r="D48" i="1"/>
  <c r="D129" i="1"/>
  <c r="D113" i="1"/>
  <c r="D20" i="1"/>
  <c r="D107" i="1"/>
  <c r="D150" i="1"/>
  <c r="D53" i="1"/>
  <c r="D13" i="1"/>
  <c r="D95" i="1"/>
  <c r="D82" i="1"/>
  <c r="D24" i="1"/>
  <c r="D76" i="1"/>
  <c r="D38" i="1"/>
  <c r="D77" i="1"/>
  <c r="D47" i="1"/>
  <c r="D84" i="1"/>
  <c r="D102" i="1"/>
  <c r="D123" i="1"/>
  <c r="D74" i="1"/>
  <c r="D71" i="1"/>
  <c r="D117" i="1"/>
  <c r="D128" i="1"/>
  <c r="D147" i="1"/>
  <c r="D17" i="1"/>
  <c r="D60" i="1"/>
  <c r="D108" i="1"/>
  <c r="D130" i="1"/>
  <c r="D68" i="1"/>
  <c r="D40" i="1"/>
  <c r="D105" i="1"/>
  <c r="D10" i="1"/>
  <c r="D69" i="1"/>
  <c r="D45" i="1"/>
  <c r="D59" i="1"/>
  <c r="D19" i="1"/>
  <c r="D21" i="1"/>
  <c r="D25" i="1"/>
  <c r="D97" i="1"/>
  <c r="D136" i="1"/>
  <c r="D34" i="1"/>
  <c r="I78" i="1"/>
  <c r="H78" i="1" s="1"/>
  <c r="I150" i="1"/>
  <c r="H150" i="1" s="1"/>
  <c r="I123" i="1"/>
  <c r="H123" i="1" s="1"/>
  <c r="I60" i="1"/>
  <c r="H60" i="1" s="1"/>
  <c r="I55" i="1"/>
  <c r="H55" i="1" s="1"/>
  <c r="D186" i="10"/>
  <c r="B23" i="17"/>
  <c r="B189" i="10"/>
  <c r="D179" i="10"/>
  <c r="C189" i="10"/>
  <c r="F9" i="1"/>
  <c r="E21" i="3" l="1"/>
  <c r="E3" i="3"/>
  <c r="D12" i="10"/>
  <c r="E11" i="3"/>
  <c r="D21" i="10"/>
  <c r="E19" i="3"/>
  <c r="D3" i="10"/>
  <c r="G20" i="3"/>
  <c r="E30" i="3"/>
  <c r="D7" i="10"/>
  <c r="E15" i="3"/>
  <c r="G5" i="3"/>
  <c r="F2" i="10"/>
  <c r="G9" i="3"/>
  <c r="D24" i="10"/>
  <c r="E23" i="3"/>
  <c r="D4" i="10"/>
  <c r="D29" i="10"/>
  <c r="F8" i="10"/>
  <c r="G22" i="3"/>
  <c r="F10" i="10"/>
  <c r="G4" i="3"/>
  <c r="D19" i="10"/>
  <c r="D23" i="10"/>
  <c r="D14" i="10"/>
  <c r="G29" i="3"/>
  <c r="D30" i="10"/>
  <c r="D18" i="10"/>
  <c r="E8" i="3"/>
  <c r="F25" i="10"/>
  <c r="F20" i="10"/>
  <c r="G26" i="3"/>
  <c r="F5" i="10"/>
  <c r="F22" i="10"/>
  <c r="E24" i="3"/>
  <c r="E14" i="3"/>
  <c r="E10" i="3"/>
  <c r="E17" i="3"/>
  <c r="D34" i="23"/>
  <c r="D27" i="10"/>
  <c r="G28" i="3"/>
  <c r="F6" i="10"/>
  <c r="G2" i="3"/>
  <c r="E27" i="3"/>
  <c r="E13" i="3"/>
  <c r="E18" i="3"/>
  <c r="E31" i="3"/>
  <c r="E25" i="3"/>
  <c r="E7" i="3"/>
  <c r="D17" i="10"/>
  <c r="D28" i="10"/>
  <c r="F15" i="10"/>
  <c r="D9" i="10"/>
  <c r="F41" i="1"/>
  <c r="F13" i="10"/>
  <c r="E12" i="3"/>
  <c r="D16" i="10"/>
  <c r="E6" i="3"/>
  <c r="D31" i="10"/>
  <c r="F11" i="10"/>
  <c r="D26" i="10"/>
  <c r="F49" i="1"/>
  <c r="E180" i="23"/>
  <c r="G180" i="23" s="1"/>
  <c r="F22" i="1"/>
  <c r="E42" i="3"/>
  <c r="D42" i="23"/>
  <c r="E23" i="1"/>
  <c r="G16" i="3"/>
  <c r="E173" i="23"/>
  <c r="G173" i="23" s="1"/>
  <c r="E164" i="23"/>
  <c r="E169" i="23"/>
  <c r="G169" i="23" s="1"/>
  <c r="D175" i="1" s="1"/>
  <c r="E162" i="23"/>
  <c r="C168" i="1" s="1"/>
  <c r="E175" i="23"/>
  <c r="G175" i="23" s="1"/>
  <c r="D175" i="23" s="1"/>
  <c r="E181" i="1" s="1"/>
  <c r="E179" i="23"/>
  <c r="C185" i="1" s="1"/>
  <c r="E168" i="23"/>
  <c r="C174" i="1" s="1"/>
  <c r="E172" i="23"/>
  <c r="G172" i="23" s="1"/>
  <c r="D172" i="23" s="1"/>
  <c r="E178" i="1" s="1"/>
  <c r="E174" i="23"/>
  <c r="C180" i="1" s="1"/>
  <c r="D116" i="23"/>
  <c r="D89" i="23"/>
  <c r="D92" i="23"/>
  <c r="D3" i="23"/>
  <c r="D67" i="23"/>
  <c r="D46" i="23"/>
  <c r="D51" i="23"/>
  <c r="D11" i="23"/>
  <c r="D107" i="23"/>
  <c r="D19" i="23"/>
  <c r="G145" i="23"/>
  <c r="G96" i="23"/>
  <c r="G139" i="3"/>
  <c r="D98" i="23"/>
  <c r="D21" i="23"/>
  <c r="D59" i="23"/>
  <c r="D73" i="23"/>
  <c r="D124" i="23"/>
  <c r="G157" i="23"/>
  <c r="G34" i="23"/>
  <c r="G138" i="23"/>
  <c r="G29" i="23"/>
  <c r="G4" i="23"/>
  <c r="G57" i="23"/>
  <c r="D95" i="23"/>
  <c r="G79" i="23"/>
  <c r="G87" i="23"/>
  <c r="G109" i="23"/>
  <c r="G56" i="23"/>
  <c r="G85" i="23"/>
  <c r="E71" i="3"/>
  <c r="D118" i="23"/>
  <c r="G119" i="23"/>
  <c r="D146" i="23"/>
  <c r="D130" i="23"/>
  <c r="D27" i="23"/>
  <c r="G105" i="23"/>
  <c r="G32" i="23"/>
  <c r="G20" i="23"/>
  <c r="G81" i="23"/>
  <c r="G44" i="23"/>
  <c r="D97" i="23"/>
  <c r="G84" i="23"/>
  <c r="D143" i="23"/>
  <c r="D33" i="23"/>
  <c r="D100" i="23"/>
  <c r="D120" i="23"/>
  <c r="D23" i="23"/>
  <c r="D128" i="23"/>
  <c r="D90" i="23"/>
  <c r="D70" i="23"/>
  <c r="D58" i="23"/>
  <c r="D18" i="23"/>
  <c r="D41" i="23"/>
  <c r="D66" i="23"/>
  <c r="D149" i="23"/>
  <c r="G86" i="23"/>
  <c r="G93" i="23"/>
  <c r="D91" i="23"/>
  <c r="D77" i="23"/>
  <c r="D129" i="23"/>
  <c r="D43" i="23"/>
  <c r="G22" i="23"/>
  <c r="D101" i="23"/>
  <c r="D152" i="23"/>
  <c r="D72" i="23"/>
  <c r="D53" i="23"/>
  <c r="D31" i="23"/>
  <c r="D25" i="23"/>
  <c r="D74" i="23"/>
  <c r="D14" i="23"/>
  <c r="D10" i="23"/>
  <c r="D69" i="23"/>
  <c r="D133" i="23"/>
  <c r="D76" i="23"/>
  <c r="D111" i="23"/>
  <c r="D8" i="23"/>
  <c r="D147" i="23"/>
  <c r="G9" i="23"/>
  <c r="G104" i="23"/>
  <c r="G49" i="23"/>
  <c r="G15" i="23"/>
  <c r="D24" i="23"/>
  <c r="D13" i="23"/>
  <c r="G83" i="23"/>
  <c r="E103" i="3"/>
  <c r="D99" i="23"/>
  <c r="D123" i="23"/>
  <c r="D40" i="23"/>
  <c r="D80" i="23"/>
  <c r="D82" i="23"/>
  <c r="D52" i="23"/>
  <c r="D121" i="23"/>
  <c r="D75" i="23"/>
  <c r="D36" i="23"/>
  <c r="D7" i="23"/>
  <c r="D94" i="23"/>
  <c r="D144" i="23"/>
  <c r="G68" i="23"/>
  <c r="G113" i="23"/>
  <c r="G141" i="23"/>
  <c r="G135" i="23"/>
  <c r="D125" i="23"/>
  <c r="G16" i="23"/>
  <c r="D61" i="23"/>
  <c r="D153" i="23"/>
  <c r="D106" i="23"/>
  <c r="G50" i="23"/>
  <c r="G117" i="23"/>
  <c r="D12" i="23"/>
  <c r="D17" i="23"/>
  <c r="D115" i="23"/>
  <c r="D155" i="23"/>
  <c r="D38" i="23"/>
  <c r="D110" i="23"/>
  <c r="D88" i="23"/>
  <c r="D112" i="23"/>
  <c r="D114" i="23"/>
  <c r="D154" i="23"/>
  <c r="D37" i="23"/>
  <c r="D62" i="23"/>
  <c r="D64" i="23"/>
  <c r="D6" i="23"/>
  <c r="D63" i="23"/>
  <c r="D60" i="23"/>
  <c r="D47" i="23"/>
  <c r="D158" i="23"/>
  <c r="G42" i="23"/>
  <c r="G151" i="23"/>
  <c r="G126" i="23"/>
  <c r="G45" i="23"/>
  <c r="E183" i="23"/>
  <c r="C188" i="1" s="1"/>
  <c r="E170" i="23"/>
  <c r="C176" i="1" s="1"/>
  <c r="C171" i="1"/>
  <c r="G167" i="23"/>
  <c r="D173" i="1" s="1"/>
  <c r="G163" i="23"/>
  <c r="D163" i="23" s="1"/>
  <c r="E169" i="1" s="1"/>
  <c r="E171" i="23"/>
  <c r="G171" i="23" s="1"/>
  <c r="D177" i="1" s="1"/>
  <c r="E177" i="23"/>
  <c r="C183" i="1" s="1"/>
  <c r="E182" i="23"/>
  <c r="G182" i="23" s="1"/>
  <c r="D182" i="23" s="1"/>
  <c r="E187" i="1" s="1"/>
  <c r="E128" i="3"/>
  <c r="F135" i="1"/>
  <c r="E125" i="3"/>
  <c r="F132" i="1"/>
  <c r="F104" i="1"/>
  <c r="E91" i="3"/>
  <c r="E97" i="3"/>
  <c r="F31" i="1"/>
  <c r="B7" i="17"/>
  <c r="B14" i="17"/>
  <c r="E126" i="1"/>
  <c r="G84" i="3"/>
  <c r="G119" i="3"/>
  <c r="E91" i="1"/>
  <c r="B13" i="17"/>
  <c r="G48" i="23"/>
  <c r="G131" i="23"/>
  <c r="G26" i="23"/>
  <c r="G5" i="23"/>
  <c r="G78" i="23"/>
  <c r="G108" i="23"/>
  <c r="G102" i="23"/>
  <c r="G35" i="23"/>
  <c r="G55" i="23"/>
  <c r="G28" i="23"/>
  <c r="G39" i="23"/>
  <c r="E127" i="3"/>
  <c r="D127" i="23"/>
  <c r="F72" i="1"/>
  <c r="D65" i="23"/>
  <c r="F144" i="1"/>
  <c r="D137" i="23"/>
  <c r="F37" i="1"/>
  <c r="D30" i="23"/>
  <c r="E122" i="3"/>
  <c r="D122" i="23"/>
  <c r="E134" i="3"/>
  <c r="D134" i="23"/>
  <c r="E140" i="3"/>
  <c r="D140" i="23"/>
  <c r="E148" i="3"/>
  <c r="D148" i="23"/>
  <c r="F78" i="1"/>
  <c r="D71" i="23"/>
  <c r="E146" i="1"/>
  <c r="G139" i="23"/>
  <c r="E156" i="3"/>
  <c r="D156" i="23"/>
  <c r="F98" i="1"/>
  <c r="G2" i="23"/>
  <c r="E132" i="3"/>
  <c r="D132" i="23"/>
  <c r="F61" i="1"/>
  <c r="D54" i="23"/>
  <c r="G117" i="3"/>
  <c r="E150" i="3"/>
  <c r="D150" i="23"/>
  <c r="E142" i="3"/>
  <c r="D142" i="23"/>
  <c r="E124" i="1"/>
  <c r="F110" i="1"/>
  <c r="D103" i="23"/>
  <c r="E136" i="3"/>
  <c r="D136" i="23"/>
  <c r="E65" i="3"/>
  <c r="E137" i="3"/>
  <c r="E54" i="3"/>
  <c r="F157" i="1"/>
  <c r="F80" i="1"/>
  <c r="E73" i="3"/>
  <c r="F107" i="1"/>
  <c r="E100" i="3"/>
  <c r="F131" i="1"/>
  <c r="E124" i="3"/>
  <c r="E164" i="1"/>
  <c r="G157" i="3"/>
  <c r="E41" i="1"/>
  <c r="G34" i="3"/>
  <c r="E120" i="1"/>
  <c r="G113" i="3"/>
  <c r="E35" i="1"/>
  <c r="E111" i="1"/>
  <c r="G104" i="3"/>
  <c r="E11" i="1"/>
  <c r="E64" i="1"/>
  <c r="G57" i="3"/>
  <c r="E112" i="1"/>
  <c r="G105" i="3"/>
  <c r="E103" i="1"/>
  <c r="G96" i="3"/>
  <c r="F28" i="1"/>
  <c r="F40" i="1"/>
  <c r="E33" i="3"/>
  <c r="F20" i="1"/>
  <c r="F137" i="1"/>
  <c r="E130" i="3"/>
  <c r="F50" i="1"/>
  <c r="E43" i="3"/>
  <c r="E158" i="1"/>
  <c r="G151" i="3"/>
  <c r="E46" i="1"/>
  <c r="G39" i="3"/>
  <c r="E148" i="1"/>
  <c r="G141" i="3"/>
  <c r="E92" i="1"/>
  <c r="G85" i="3"/>
  <c r="E115" i="1"/>
  <c r="G108" i="3"/>
  <c r="E57" i="1"/>
  <c r="G50" i="3"/>
  <c r="E94" i="1"/>
  <c r="G87" i="3"/>
  <c r="F127" i="1"/>
  <c r="E120" i="3"/>
  <c r="F25" i="1"/>
  <c r="F60" i="1"/>
  <c r="E53" i="3"/>
  <c r="F38" i="1"/>
  <c r="F48" i="1"/>
  <c r="E41" i="3"/>
  <c r="F32" i="1"/>
  <c r="F81" i="1"/>
  <c r="E74" i="3"/>
  <c r="F73" i="1"/>
  <c r="E66" i="3"/>
  <c r="E39" i="1"/>
  <c r="G32" i="3"/>
  <c r="E63" i="1"/>
  <c r="G56" i="3"/>
  <c r="E145" i="1"/>
  <c r="G138" i="3"/>
  <c r="E36" i="1"/>
  <c r="E88" i="1"/>
  <c r="G81" i="3"/>
  <c r="E152" i="1"/>
  <c r="G145" i="3"/>
  <c r="E93" i="1"/>
  <c r="G86" i="3"/>
  <c r="E29" i="1"/>
  <c r="F102" i="1"/>
  <c r="E95" i="3"/>
  <c r="F84" i="1"/>
  <c r="E77" i="3"/>
  <c r="F47" i="1"/>
  <c r="E40" i="3"/>
  <c r="F65" i="1"/>
  <c r="E58" i="3"/>
  <c r="F17" i="1"/>
  <c r="F156" i="1"/>
  <c r="E149" i="3"/>
  <c r="F153" i="1"/>
  <c r="E146" i="3"/>
  <c r="F34" i="1"/>
  <c r="F125" i="1"/>
  <c r="E118" i="3"/>
  <c r="F97" i="1"/>
  <c r="E90" i="3"/>
  <c r="F79" i="1"/>
  <c r="E72" i="3"/>
  <c r="F21" i="1"/>
  <c r="F15" i="1"/>
  <c r="F19" i="1"/>
  <c r="F24" i="1"/>
  <c r="F89" i="1"/>
  <c r="E82" i="3"/>
  <c r="F96" i="1"/>
  <c r="E89" i="3"/>
  <c r="F122" i="1"/>
  <c r="E115" i="3"/>
  <c r="F99" i="1"/>
  <c r="E92" i="3"/>
  <c r="F154" i="1"/>
  <c r="E147" i="3"/>
  <c r="E33" i="1"/>
  <c r="E55" i="1"/>
  <c r="G48" i="3"/>
  <c r="E138" i="1"/>
  <c r="G131" i="3"/>
  <c r="E56" i="1"/>
  <c r="G49" i="3"/>
  <c r="E100" i="1"/>
  <c r="G93" i="3"/>
  <c r="F105" i="1"/>
  <c r="E98" i="3"/>
  <c r="F66" i="1"/>
  <c r="E59" i="3"/>
  <c r="F68" i="1"/>
  <c r="E61" i="3"/>
  <c r="F113" i="1"/>
  <c r="E106" i="3"/>
  <c r="F76" i="1"/>
  <c r="E69" i="3"/>
  <c r="F162" i="1"/>
  <c r="E155" i="3"/>
  <c r="F136" i="1"/>
  <c r="E129" i="3"/>
  <c r="F87" i="1"/>
  <c r="E80" i="3"/>
  <c r="E116" i="1"/>
  <c r="G109" i="3"/>
  <c r="F77" i="1"/>
  <c r="E70" i="3"/>
  <c r="F140" i="1"/>
  <c r="E133" i="3"/>
  <c r="F59" i="1"/>
  <c r="E52" i="3"/>
  <c r="F128" i="1"/>
  <c r="E121" i="3"/>
  <c r="F82" i="1"/>
  <c r="E75" i="3"/>
  <c r="F43" i="1"/>
  <c r="E36" i="3"/>
  <c r="F14" i="1"/>
  <c r="F101" i="1"/>
  <c r="E94" i="3"/>
  <c r="F45" i="1"/>
  <c r="E38" i="3"/>
  <c r="F117" i="1"/>
  <c r="E110" i="3"/>
  <c r="F95" i="1"/>
  <c r="E88" i="3"/>
  <c r="F119" i="1"/>
  <c r="E112" i="3"/>
  <c r="F121" i="1"/>
  <c r="E114" i="3"/>
  <c r="F161" i="1"/>
  <c r="E154" i="3"/>
  <c r="F44" i="1"/>
  <c r="E37" i="3"/>
  <c r="F151" i="1"/>
  <c r="E144" i="3"/>
  <c r="E75" i="1"/>
  <c r="G68" i="3"/>
  <c r="E12" i="1"/>
  <c r="E27" i="1"/>
  <c r="E85" i="1"/>
  <c r="G78" i="3"/>
  <c r="E133" i="1"/>
  <c r="G126" i="3"/>
  <c r="E142" i="1"/>
  <c r="G135" i="3"/>
  <c r="E51" i="1"/>
  <c r="G44" i="3"/>
  <c r="E86" i="1"/>
  <c r="G79" i="3"/>
  <c r="E90" i="1"/>
  <c r="F123" i="1"/>
  <c r="E116" i="3"/>
  <c r="F26" i="1"/>
  <c r="F130" i="1"/>
  <c r="E123" i="3"/>
  <c r="F83" i="1"/>
  <c r="E76" i="3"/>
  <c r="F69" i="1"/>
  <c r="E62" i="3"/>
  <c r="F150" i="1"/>
  <c r="E143" i="3"/>
  <c r="F30" i="1"/>
  <c r="F106" i="1"/>
  <c r="E99" i="3"/>
  <c r="E153" i="3"/>
  <c r="F108" i="1"/>
  <c r="E101" i="3"/>
  <c r="F159" i="1"/>
  <c r="E152" i="3"/>
  <c r="F118" i="1"/>
  <c r="E111" i="3"/>
  <c r="F71" i="1"/>
  <c r="E64" i="3"/>
  <c r="F13" i="1"/>
  <c r="F70" i="1"/>
  <c r="E63" i="3"/>
  <c r="F67" i="1"/>
  <c r="E60" i="3"/>
  <c r="F54" i="1"/>
  <c r="E47" i="3"/>
  <c r="F10" i="1"/>
  <c r="F74" i="1"/>
  <c r="E67" i="3"/>
  <c r="F53" i="1"/>
  <c r="E46" i="3"/>
  <c r="F58" i="1"/>
  <c r="E51" i="3"/>
  <c r="F18" i="1"/>
  <c r="F114" i="1"/>
  <c r="E107" i="3"/>
  <c r="F165" i="1"/>
  <c r="E158" i="3"/>
  <c r="E49" i="1"/>
  <c r="G42" i="3"/>
  <c r="E42" i="1"/>
  <c r="G35" i="3"/>
  <c r="E16" i="1"/>
  <c r="E52" i="1"/>
  <c r="G45" i="3"/>
  <c r="E22" i="1"/>
  <c r="E62" i="1"/>
  <c r="G55" i="3"/>
  <c r="E109" i="1"/>
  <c r="G102" i="3"/>
  <c r="F134" i="1"/>
  <c r="F141" i="1"/>
  <c r="F163" i="1"/>
  <c r="F139" i="1"/>
  <c r="F129" i="1"/>
  <c r="F143" i="1"/>
  <c r="F147" i="1"/>
  <c r="F149" i="1"/>
  <c r="F155" i="1"/>
  <c r="C172" i="1"/>
  <c r="G176" i="23"/>
  <c r="C182" i="1"/>
  <c r="C184" i="1"/>
  <c r="G178" i="23"/>
  <c r="G164" i="23"/>
  <c r="D164" i="23" s="1"/>
  <c r="E170" i="1" s="1"/>
  <c r="B9" i="17"/>
  <c r="C170" i="1"/>
  <c r="D172" i="1"/>
  <c r="D166" i="23"/>
  <c r="E172" i="1" s="1"/>
  <c r="E9" i="1"/>
  <c r="D179" i="1"/>
  <c r="D173" i="23"/>
  <c r="E179" i="1" s="1"/>
  <c r="D165" i="23"/>
  <c r="E171" i="1" s="1"/>
  <c r="D171" i="1"/>
  <c r="D180" i="23"/>
  <c r="E186" i="1" s="1"/>
  <c r="D186" i="1"/>
  <c r="C181" i="1" l="1"/>
  <c r="D178" i="1"/>
  <c r="C179" i="1"/>
  <c r="E8" i="10"/>
  <c r="G14" i="3"/>
  <c r="F28" i="10"/>
  <c r="F16" i="10"/>
  <c r="F14" i="10"/>
  <c r="G15" i="3"/>
  <c r="F24" i="10"/>
  <c r="F29" i="3"/>
  <c r="F4" i="3"/>
  <c r="G10" i="3"/>
  <c r="G3" i="3"/>
  <c r="G25" i="3"/>
  <c r="F2" i="3"/>
  <c r="E20" i="10"/>
  <c r="F31" i="10"/>
  <c r="E22" i="10"/>
  <c r="F18" i="10"/>
  <c r="C186" i="1"/>
  <c r="G31" i="3"/>
  <c r="G13" i="3"/>
  <c r="F21" i="10"/>
  <c r="G19" i="3"/>
  <c r="F3" i="10"/>
  <c r="G7" i="3"/>
  <c r="E25" i="10"/>
  <c r="G27" i="3"/>
  <c r="F28" i="3"/>
  <c r="E6" i="10"/>
  <c r="G30" i="3"/>
  <c r="F7" i="10"/>
  <c r="F19" i="10"/>
  <c r="F17" i="10"/>
  <c r="E13" i="10"/>
  <c r="F27" i="10"/>
  <c r="F15" i="3"/>
  <c r="G11" i="3"/>
  <c r="E15" i="10"/>
  <c r="F20" i="3"/>
  <c r="F9" i="10"/>
  <c r="E11" i="10"/>
  <c r="G17" i="3"/>
  <c r="F29" i="10"/>
  <c r="F22" i="3"/>
  <c r="G18" i="3"/>
  <c r="G21" i="3"/>
  <c r="G24" i="3"/>
  <c r="G23" i="3"/>
  <c r="F4" i="10"/>
  <c r="F5" i="3"/>
  <c r="E2" i="10"/>
  <c r="F26" i="3"/>
  <c r="E5" i="10"/>
  <c r="G12" i="3"/>
  <c r="F26" i="10"/>
  <c r="F12" i="10"/>
  <c r="G6" i="3"/>
  <c r="F23" i="10"/>
  <c r="F9" i="3"/>
  <c r="G8" i="3"/>
  <c r="F30" i="10"/>
  <c r="E10" i="10"/>
  <c r="F16" i="3"/>
  <c r="C16" i="23"/>
  <c r="E16" i="23" s="1"/>
  <c r="D181" i="1"/>
  <c r="G162" i="23"/>
  <c r="D168" i="1" s="1"/>
  <c r="D169" i="23"/>
  <c r="E175" i="1" s="1"/>
  <c r="C175" i="1"/>
  <c r="G168" i="23"/>
  <c r="G179" i="23"/>
  <c r="D179" i="23" s="1"/>
  <c r="E185" i="1" s="1"/>
  <c r="C178" i="1"/>
  <c r="G174" i="23"/>
  <c r="D180" i="1" s="1"/>
  <c r="G170" i="23"/>
  <c r="D176" i="1" s="1"/>
  <c r="B31" i="17"/>
  <c r="G183" i="23"/>
  <c r="D188" i="1" s="1"/>
  <c r="G18" i="23"/>
  <c r="G47" i="23"/>
  <c r="G152" i="23"/>
  <c r="G62" i="23"/>
  <c r="G71" i="23"/>
  <c r="G90" i="23"/>
  <c r="G67" i="23"/>
  <c r="G64" i="23"/>
  <c r="G116" i="23"/>
  <c r="E144" i="1"/>
  <c r="C83" i="23"/>
  <c r="E83" i="23" s="1"/>
  <c r="G114" i="23"/>
  <c r="G7" i="23"/>
  <c r="G70" i="23"/>
  <c r="G106" i="23"/>
  <c r="G89" i="23"/>
  <c r="G72" i="23"/>
  <c r="G10" i="23"/>
  <c r="G53" i="23"/>
  <c r="G13" i="23"/>
  <c r="G54" i="23"/>
  <c r="G103" i="3"/>
  <c r="G65" i="23"/>
  <c r="G33" i="23"/>
  <c r="C104" i="23"/>
  <c r="E104" i="23" s="1"/>
  <c r="G97" i="23"/>
  <c r="G125" i="23"/>
  <c r="G66" i="23"/>
  <c r="G88" i="23"/>
  <c r="G75" i="23"/>
  <c r="G80" i="23"/>
  <c r="G59" i="23"/>
  <c r="G17" i="23"/>
  <c r="G118" i="23"/>
  <c r="G40" i="23"/>
  <c r="G74" i="23"/>
  <c r="G120" i="23"/>
  <c r="G21" i="23"/>
  <c r="G73" i="23"/>
  <c r="F84" i="3"/>
  <c r="G112" i="23"/>
  <c r="G61" i="23"/>
  <c r="G91" i="23"/>
  <c r="G128" i="23"/>
  <c r="G110" i="23"/>
  <c r="G121" i="23"/>
  <c r="G129" i="23"/>
  <c r="G98" i="23"/>
  <c r="G147" i="23"/>
  <c r="G12" i="23"/>
  <c r="G27" i="23"/>
  <c r="G77" i="23"/>
  <c r="G25" i="23"/>
  <c r="F119" i="3"/>
  <c r="G3" i="23"/>
  <c r="G111" i="23"/>
  <c r="G143" i="23"/>
  <c r="G11" i="23"/>
  <c r="G60" i="23"/>
  <c r="G76" i="23"/>
  <c r="G63" i="23"/>
  <c r="G153" i="23"/>
  <c r="G123" i="23"/>
  <c r="G37" i="23"/>
  <c r="G38" i="23"/>
  <c r="G52" i="23"/>
  <c r="G155" i="23"/>
  <c r="G8" i="23"/>
  <c r="G95" i="23"/>
  <c r="G41" i="23"/>
  <c r="G43" i="23"/>
  <c r="G46" i="23"/>
  <c r="G6" i="23"/>
  <c r="G99" i="23"/>
  <c r="G154" i="23"/>
  <c r="G133" i="23"/>
  <c r="G69" i="23"/>
  <c r="G115" i="23"/>
  <c r="G14" i="23"/>
  <c r="G31" i="23"/>
  <c r="G130" i="23"/>
  <c r="G24" i="23"/>
  <c r="G177" i="23"/>
  <c r="D177" i="23" s="1"/>
  <c r="E183" i="1" s="1"/>
  <c r="D171" i="23"/>
  <c r="E177" i="1" s="1"/>
  <c r="D187" i="1"/>
  <c r="C177" i="1"/>
  <c r="D169" i="1"/>
  <c r="D167" i="23"/>
  <c r="E173" i="1" s="1"/>
  <c r="C187" i="1"/>
  <c r="G128" i="3"/>
  <c r="E135" i="1"/>
  <c r="E104" i="1"/>
  <c r="G97" i="3"/>
  <c r="G125" i="3"/>
  <c r="E132" i="1"/>
  <c r="E31" i="1"/>
  <c r="C84" i="23"/>
  <c r="E84" i="23" s="1"/>
  <c r="E61" i="1"/>
  <c r="C119" i="23"/>
  <c r="E119" i="23" s="1"/>
  <c r="G65" i="3"/>
  <c r="E72" i="1"/>
  <c r="G137" i="3"/>
  <c r="G91" i="3"/>
  <c r="E98" i="1"/>
  <c r="G144" i="23"/>
  <c r="G30" i="23"/>
  <c r="G51" i="23"/>
  <c r="G94" i="23"/>
  <c r="G158" i="23"/>
  <c r="G124" i="23"/>
  <c r="G137" i="23"/>
  <c r="G58" i="23"/>
  <c r="G107" i="23"/>
  <c r="G36" i="23"/>
  <c r="G100" i="23"/>
  <c r="G23" i="23"/>
  <c r="G101" i="23"/>
  <c r="G92" i="23"/>
  <c r="G146" i="23"/>
  <c r="G149" i="23"/>
  <c r="G19" i="23"/>
  <c r="G71" i="3"/>
  <c r="C5" i="23"/>
  <c r="E5" i="23" s="1"/>
  <c r="G134" i="3"/>
  <c r="G134" i="23"/>
  <c r="G140" i="3"/>
  <c r="G140" i="23"/>
  <c r="C15" i="23"/>
  <c r="E15" i="23" s="1"/>
  <c r="G136" i="3"/>
  <c r="G136" i="23"/>
  <c r="C20" i="23"/>
  <c r="E20" i="23" s="1"/>
  <c r="G83" i="3"/>
  <c r="G82" i="23"/>
  <c r="F145" i="3"/>
  <c r="C145" i="23"/>
  <c r="E145" i="23" s="1"/>
  <c r="F32" i="3"/>
  <c r="C32" i="23"/>
  <c r="E32" i="23" s="1"/>
  <c r="F108" i="3"/>
  <c r="C108" i="23"/>
  <c r="E108" i="23" s="1"/>
  <c r="F105" i="3"/>
  <c r="C105" i="23"/>
  <c r="E105" i="23" s="1"/>
  <c r="F34" i="3"/>
  <c r="C34" i="23"/>
  <c r="E34" i="23" s="1"/>
  <c r="F139" i="3"/>
  <c r="C139" i="23"/>
  <c r="E139" i="23" s="1"/>
  <c r="F44" i="3"/>
  <c r="C44" i="23"/>
  <c r="E44" i="23" s="1"/>
  <c r="G122" i="3"/>
  <c r="G122" i="23"/>
  <c r="F81" i="3"/>
  <c r="C81" i="23"/>
  <c r="E81" i="23" s="1"/>
  <c r="E110" i="1"/>
  <c r="G103" i="23"/>
  <c r="F141" i="3"/>
  <c r="C141" i="23"/>
  <c r="E141" i="23" s="1"/>
  <c r="C9" i="23"/>
  <c r="E9" i="23" s="1"/>
  <c r="F135" i="3"/>
  <c r="C135" i="23"/>
  <c r="E135" i="23" s="1"/>
  <c r="E37" i="1"/>
  <c r="C29" i="23"/>
  <c r="E29" i="23" s="1"/>
  <c r="F87" i="3"/>
  <c r="C87" i="23"/>
  <c r="E87" i="23" s="1"/>
  <c r="F39" i="3"/>
  <c r="C39" i="23"/>
  <c r="E39" i="23" s="1"/>
  <c r="F117" i="3"/>
  <c r="C117" i="23"/>
  <c r="E117" i="23" s="1"/>
  <c r="F45" i="3"/>
  <c r="C45" i="23"/>
  <c r="E45" i="23" s="1"/>
  <c r="F79" i="3"/>
  <c r="C79" i="23"/>
  <c r="E79" i="23" s="1"/>
  <c r="F157" i="3"/>
  <c r="C157" i="23"/>
  <c r="E157" i="23" s="1"/>
  <c r="F109" i="3"/>
  <c r="C109" i="23"/>
  <c r="E109" i="23" s="1"/>
  <c r="F85" i="3"/>
  <c r="C85" i="23"/>
  <c r="E85" i="23" s="1"/>
  <c r="F68" i="3"/>
  <c r="C68" i="23"/>
  <c r="E68" i="23" s="1"/>
  <c r="F49" i="3"/>
  <c r="C49" i="23"/>
  <c r="E49" i="23" s="1"/>
  <c r="F126" i="3"/>
  <c r="C126" i="23"/>
  <c r="E126" i="23" s="1"/>
  <c r="F93" i="3"/>
  <c r="C93" i="23"/>
  <c r="E93" i="23" s="1"/>
  <c r="F131" i="3"/>
  <c r="C131" i="23"/>
  <c r="E131" i="23" s="1"/>
  <c r="C22" i="23"/>
  <c r="E22" i="23" s="1"/>
  <c r="F138" i="3"/>
  <c r="C138" i="23"/>
  <c r="E138" i="23" s="1"/>
  <c r="F151" i="3"/>
  <c r="C151" i="23"/>
  <c r="E151" i="23" s="1"/>
  <c r="C28" i="23"/>
  <c r="E28" i="23" s="1"/>
  <c r="G132" i="3"/>
  <c r="G132" i="23"/>
  <c r="C2" i="23"/>
  <c r="E2" i="23" s="1"/>
  <c r="E157" i="1"/>
  <c r="G150" i="23"/>
  <c r="C26" i="23"/>
  <c r="E26" i="23" s="1"/>
  <c r="F57" i="3"/>
  <c r="C57" i="23"/>
  <c r="E57" i="23" s="1"/>
  <c r="C4" i="23"/>
  <c r="E4" i="23" s="1"/>
  <c r="G127" i="3"/>
  <c r="G127" i="23"/>
  <c r="F102" i="3"/>
  <c r="C102" i="23"/>
  <c r="E102" i="23" s="1"/>
  <c r="F35" i="3"/>
  <c r="C35" i="23"/>
  <c r="E35" i="23" s="1"/>
  <c r="G148" i="3"/>
  <c r="G148" i="23"/>
  <c r="F55" i="3"/>
  <c r="C55" i="23"/>
  <c r="E55" i="23" s="1"/>
  <c r="F42" i="3"/>
  <c r="C42" i="23"/>
  <c r="E42" i="23" s="1"/>
  <c r="G142" i="3"/>
  <c r="G142" i="23"/>
  <c r="G54" i="3"/>
  <c r="F78" i="3"/>
  <c r="C78" i="23"/>
  <c r="E78" i="23" s="1"/>
  <c r="F48" i="3"/>
  <c r="C48" i="23"/>
  <c r="E48" i="23" s="1"/>
  <c r="F86" i="3"/>
  <c r="C86" i="23"/>
  <c r="E86" i="23" s="1"/>
  <c r="F56" i="3"/>
  <c r="C56" i="23"/>
  <c r="E56" i="23" s="1"/>
  <c r="F50" i="3"/>
  <c r="C50" i="23"/>
  <c r="E50" i="23" s="1"/>
  <c r="E78" i="1"/>
  <c r="F96" i="3"/>
  <c r="C96" i="23"/>
  <c r="E96" i="23" s="1"/>
  <c r="F113" i="3"/>
  <c r="C113" i="23"/>
  <c r="E113" i="23" s="1"/>
  <c r="G156" i="3"/>
  <c r="G156" i="23"/>
  <c r="G150" i="3"/>
  <c r="F104" i="3"/>
  <c r="E114" i="1"/>
  <c r="G107" i="3"/>
  <c r="E159" i="1"/>
  <c r="G152" i="3"/>
  <c r="E121" i="1"/>
  <c r="G114" i="3"/>
  <c r="E113" i="1"/>
  <c r="G106" i="3"/>
  <c r="E38" i="1"/>
  <c r="E83" i="1"/>
  <c r="G76" i="3"/>
  <c r="E43" i="1"/>
  <c r="G36" i="3"/>
  <c r="E58" i="1"/>
  <c r="G51" i="3"/>
  <c r="E70" i="1"/>
  <c r="G63" i="3"/>
  <c r="G153" i="3"/>
  <c r="E130" i="1"/>
  <c r="G123" i="3"/>
  <c r="E95" i="1"/>
  <c r="G88" i="3"/>
  <c r="E82" i="1"/>
  <c r="G75" i="3"/>
  <c r="E87" i="1"/>
  <c r="G80" i="3"/>
  <c r="E66" i="1"/>
  <c r="G59" i="3"/>
  <c r="E154" i="1"/>
  <c r="G147" i="3"/>
  <c r="E19" i="1"/>
  <c r="E34" i="1"/>
  <c r="E84" i="1"/>
  <c r="G77" i="3"/>
  <c r="E73" i="1"/>
  <c r="G66" i="3"/>
  <c r="E25" i="1"/>
  <c r="E137" i="1"/>
  <c r="G130" i="3"/>
  <c r="E54" i="1"/>
  <c r="G47" i="3"/>
  <c r="E108" i="1"/>
  <c r="G101" i="3"/>
  <c r="E119" i="1"/>
  <c r="G112" i="3"/>
  <c r="E68" i="1"/>
  <c r="G61" i="3"/>
  <c r="E24" i="1"/>
  <c r="E47" i="1"/>
  <c r="G40" i="3"/>
  <c r="E69" i="1"/>
  <c r="G62" i="3"/>
  <c r="E60" i="1"/>
  <c r="G53" i="3"/>
  <c r="E53" i="1"/>
  <c r="G46" i="3"/>
  <c r="E13" i="1"/>
  <c r="E106" i="1"/>
  <c r="G99" i="3"/>
  <c r="E26" i="1"/>
  <c r="E151" i="1"/>
  <c r="G144" i="3"/>
  <c r="E117" i="1"/>
  <c r="G110" i="3"/>
  <c r="E128" i="1"/>
  <c r="G121" i="3"/>
  <c r="E136" i="1"/>
  <c r="G129" i="3"/>
  <c r="E105" i="1"/>
  <c r="G98" i="3"/>
  <c r="E99" i="1"/>
  <c r="G92" i="3"/>
  <c r="E15" i="1"/>
  <c r="E153" i="1"/>
  <c r="G146" i="3"/>
  <c r="E102" i="1"/>
  <c r="G95" i="3"/>
  <c r="E81" i="1"/>
  <c r="G74" i="3"/>
  <c r="E127" i="1"/>
  <c r="G120" i="3"/>
  <c r="E20" i="1"/>
  <c r="E131" i="1"/>
  <c r="G124" i="3"/>
  <c r="E67" i="1"/>
  <c r="G60" i="3"/>
  <c r="E89" i="1"/>
  <c r="G82" i="3"/>
  <c r="E97" i="1"/>
  <c r="G90" i="3"/>
  <c r="E65" i="1"/>
  <c r="G58" i="3"/>
  <c r="E74" i="1"/>
  <c r="G67" i="3"/>
  <c r="E71" i="1"/>
  <c r="G64" i="3"/>
  <c r="E30" i="1"/>
  <c r="E123" i="1"/>
  <c r="G116" i="3"/>
  <c r="E44" i="1"/>
  <c r="G37" i="3"/>
  <c r="E45" i="1"/>
  <c r="G38" i="3"/>
  <c r="E59" i="1"/>
  <c r="G52" i="3"/>
  <c r="E162" i="1"/>
  <c r="G155" i="3"/>
  <c r="E122" i="1"/>
  <c r="G115" i="3"/>
  <c r="E21" i="1"/>
  <c r="E156" i="1"/>
  <c r="G149" i="3"/>
  <c r="E32" i="1"/>
  <c r="E40" i="1"/>
  <c r="G33" i="3"/>
  <c r="E107" i="1"/>
  <c r="G100" i="3"/>
  <c r="E125" i="1"/>
  <c r="G118" i="3"/>
  <c r="E14" i="1"/>
  <c r="E77" i="1"/>
  <c r="G70" i="3"/>
  <c r="E18" i="1"/>
  <c r="E50" i="1"/>
  <c r="G43" i="3"/>
  <c r="E165" i="1"/>
  <c r="G158" i="3"/>
  <c r="E10" i="1"/>
  <c r="E118" i="1"/>
  <c r="G111" i="3"/>
  <c r="E150" i="1"/>
  <c r="G143" i="3"/>
  <c r="E161" i="1"/>
  <c r="G154" i="3"/>
  <c r="E101" i="1"/>
  <c r="G94" i="3"/>
  <c r="E140" i="1"/>
  <c r="G133" i="3"/>
  <c r="E76" i="1"/>
  <c r="G69" i="3"/>
  <c r="E96" i="1"/>
  <c r="G89" i="3"/>
  <c r="E79" i="1"/>
  <c r="G72" i="3"/>
  <c r="E17" i="1"/>
  <c r="E48" i="1"/>
  <c r="G41" i="3"/>
  <c r="E28" i="1"/>
  <c r="E80" i="1"/>
  <c r="G73" i="3"/>
  <c r="E141" i="1"/>
  <c r="E163" i="1"/>
  <c r="E134" i="1"/>
  <c r="E143" i="1"/>
  <c r="E129" i="1"/>
  <c r="E149" i="1"/>
  <c r="E155" i="1"/>
  <c r="E147" i="1"/>
  <c r="E139" i="1"/>
  <c r="D185" i="1"/>
  <c r="D183" i="23"/>
  <c r="E188" i="1" s="1"/>
  <c r="D176" i="23"/>
  <c r="E182" i="1" s="1"/>
  <c r="D182" i="1"/>
  <c r="D162" i="23"/>
  <c r="E168" i="1" s="1"/>
  <c r="D170" i="1"/>
  <c r="B10" i="17"/>
  <c r="D174" i="1"/>
  <c r="D168" i="23"/>
  <c r="E174" i="1" s="1"/>
  <c r="D184" i="1"/>
  <c r="D178" i="23"/>
  <c r="E184" i="1" s="1"/>
  <c r="D170" i="23"/>
  <c r="E176" i="1" s="1"/>
  <c r="D174" i="23" l="1"/>
  <c r="E180" i="1" s="1"/>
  <c r="F3" i="3"/>
  <c r="F27" i="3"/>
  <c r="F30" i="3"/>
  <c r="E7" i="10"/>
  <c r="E18" i="10"/>
  <c r="E14" i="10"/>
  <c r="F12" i="3"/>
  <c r="E31" i="10"/>
  <c r="E19" i="10"/>
  <c r="F24" i="3"/>
  <c r="F125" i="3"/>
  <c r="E17" i="10"/>
  <c r="F11" i="3"/>
  <c r="E30" i="10"/>
  <c r="F137" i="3"/>
  <c r="E26" i="10"/>
  <c r="F21" i="3"/>
  <c r="F14" i="3"/>
  <c r="E29" i="10"/>
  <c r="E12" i="10"/>
  <c r="F23" i="3"/>
  <c r="E4" i="10"/>
  <c r="F8" i="3"/>
  <c r="E28" i="10"/>
  <c r="F18" i="3"/>
  <c r="E21" i="10"/>
  <c r="F10" i="3"/>
  <c r="E27" i="10"/>
  <c r="F7" i="3"/>
  <c r="F19" i="3"/>
  <c r="E3" i="10"/>
  <c r="F17" i="3"/>
  <c r="E9" i="10"/>
  <c r="E23" i="10"/>
  <c r="F25" i="3"/>
  <c r="E24" i="10"/>
  <c r="E16" i="10"/>
  <c r="F13" i="3"/>
  <c r="F6" i="3"/>
  <c r="F31" i="3"/>
  <c r="C137" i="23"/>
  <c r="E137" i="23" s="1"/>
  <c r="C128" i="23"/>
  <c r="E128" i="23" s="1"/>
  <c r="F128" i="3"/>
  <c r="D183" i="1"/>
  <c r="C97" i="23"/>
  <c r="E97" i="23" s="1"/>
  <c r="F54" i="3"/>
  <c r="C125" i="23"/>
  <c r="E125" i="23" s="1"/>
  <c r="F91" i="3"/>
  <c r="F97" i="3"/>
  <c r="C65" i="23"/>
  <c r="E65" i="23" s="1"/>
  <c r="C24" i="23"/>
  <c r="E24" i="23" s="1"/>
  <c r="C54" i="23"/>
  <c r="E54" i="23" s="1"/>
  <c r="C91" i="23"/>
  <c r="E91" i="23" s="1"/>
  <c r="F65" i="3"/>
  <c r="C103" i="23"/>
  <c r="E103" i="23" s="1"/>
  <c r="F103" i="3"/>
  <c r="F149" i="3"/>
  <c r="C149" i="23"/>
  <c r="E149" i="23" s="1"/>
  <c r="C6" i="23"/>
  <c r="E6" i="23" s="1"/>
  <c r="F66" i="3"/>
  <c r="C66" i="23"/>
  <c r="E66" i="23" s="1"/>
  <c r="F51" i="3"/>
  <c r="C51" i="23"/>
  <c r="E51" i="23" s="1"/>
  <c r="F150" i="3"/>
  <c r="C150" i="23"/>
  <c r="E150" i="23" s="1"/>
  <c r="F111" i="3"/>
  <c r="C111" i="23"/>
  <c r="E111" i="23" s="1"/>
  <c r="F95" i="3"/>
  <c r="C95" i="23"/>
  <c r="E95" i="23" s="1"/>
  <c r="F77" i="3"/>
  <c r="C77" i="23"/>
  <c r="E77" i="23" s="1"/>
  <c r="F36" i="3"/>
  <c r="C36" i="23"/>
  <c r="E36" i="23" s="1"/>
  <c r="F122" i="3"/>
  <c r="C122" i="23"/>
  <c r="E122" i="23" s="1"/>
  <c r="C10" i="23"/>
  <c r="E10" i="23" s="1"/>
  <c r="F154" i="3"/>
  <c r="C154" i="23"/>
  <c r="E154" i="23" s="1"/>
  <c r="C11" i="23"/>
  <c r="E11" i="23" s="1"/>
  <c r="C25" i="23"/>
  <c r="E25" i="23" s="1"/>
  <c r="F38" i="3"/>
  <c r="C38" i="23"/>
  <c r="E38" i="23" s="1"/>
  <c r="F58" i="3"/>
  <c r="C58" i="23"/>
  <c r="E58" i="23" s="1"/>
  <c r="F120" i="3"/>
  <c r="C120" i="23"/>
  <c r="E120" i="23" s="1"/>
  <c r="F98" i="3"/>
  <c r="C98" i="23"/>
  <c r="E98" i="23" s="1"/>
  <c r="F99" i="3"/>
  <c r="C99" i="23"/>
  <c r="E99" i="23" s="1"/>
  <c r="C17" i="23"/>
  <c r="E17" i="23" s="1"/>
  <c r="C18" i="23"/>
  <c r="E18" i="23" s="1"/>
  <c r="F59" i="3"/>
  <c r="C59" i="23"/>
  <c r="E59" i="23" s="1"/>
  <c r="F63" i="3"/>
  <c r="C63" i="23"/>
  <c r="E63" i="23" s="1"/>
  <c r="F114" i="3"/>
  <c r="C114" i="23"/>
  <c r="E114" i="23" s="1"/>
  <c r="F152" i="3"/>
  <c r="C152" i="23"/>
  <c r="E152" i="23" s="1"/>
  <c r="F82" i="3"/>
  <c r="C82" i="23"/>
  <c r="E82" i="23" s="1"/>
  <c r="F127" i="3"/>
  <c r="C127" i="23"/>
  <c r="E127" i="23" s="1"/>
  <c r="F90" i="3"/>
  <c r="C90" i="23"/>
  <c r="E90" i="23" s="1"/>
  <c r="F89" i="3"/>
  <c r="C89" i="23"/>
  <c r="E89" i="23" s="1"/>
  <c r="F46" i="3"/>
  <c r="C46" i="23"/>
  <c r="E46" i="23" s="1"/>
  <c r="F136" i="3"/>
  <c r="C136" i="23"/>
  <c r="E136" i="23" s="1"/>
  <c r="F72" i="3"/>
  <c r="C72" i="23"/>
  <c r="E72" i="23" s="1"/>
  <c r="F74" i="3"/>
  <c r="C74" i="23"/>
  <c r="E74" i="23" s="1"/>
  <c r="F116" i="3"/>
  <c r="C116" i="23"/>
  <c r="E116" i="23" s="1"/>
  <c r="F112" i="3"/>
  <c r="C112" i="23"/>
  <c r="E112" i="23" s="1"/>
  <c r="F107" i="3"/>
  <c r="C107" i="23"/>
  <c r="E107" i="23" s="1"/>
  <c r="F73" i="3"/>
  <c r="C73" i="23"/>
  <c r="E73" i="23" s="1"/>
  <c r="F69" i="3"/>
  <c r="C69" i="23"/>
  <c r="E69" i="23" s="1"/>
  <c r="C3" i="23"/>
  <c r="E3" i="23" s="1"/>
  <c r="F118" i="3"/>
  <c r="C118" i="23"/>
  <c r="E118" i="23" s="1"/>
  <c r="F115" i="3"/>
  <c r="C115" i="23"/>
  <c r="E115" i="23" s="1"/>
  <c r="C23" i="23"/>
  <c r="E23" i="23" s="1"/>
  <c r="F60" i="3"/>
  <c r="C60" i="23"/>
  <c r="E60" i="23" s="1"/>
  <c r="F146" i="3"/>
  <c r="C146" i="23"/>
  <c r="E146" i="23" s="1"/>
  <c r="F110" i="3"/>
  <c r="C110" i="23"/>
  <c r="E110" i="23" s="1"/>
  <c r="F53" i="3"/>
  <c r="C53" i="23"/>
  <c r="E53" i="23" s="1"/>
  <c r="F101" i="3"/>
  <c r="C101" i="23"/>
  <c r="E101" i="23" s="1"/>
  <c r="C27" i="23"/>
  <c r="E27" i="23" s="1"/>
  <c r="F88" i="3"/>
  <c r="C88" i="23"/>
  <c r="E88" i="23" s="1"/>
  <c r="F76" i="3"/>
  <c r="C76" i="23"/>
  <c r="E76" i="23" s="1"/>
  <c r="F70" i="3"/>
  <c r="C70" i="23"/>
  <c r="E70" i="23" s="1"/>
  <c r="F129" i="3"/>
  <c r="C129" i="23"/>
  <c r="E129" i="23" s="1"/>
  <c r="F80" i="3"/>
  <c r="C80" i="23"/>
  <c r="E80" i="23" s="1"/>
  <c r="F71" i="3"/>
  <c r="C71" i="23"/>
  <c r="E71" i="23" s="1"/>
  <c r="F134" i="3"/>
  <c r="C134" i="23"/>
  <c r="E134" i="23" s="1"/>
  <c r="F132" i="3"/>
  <c r="C132" i="23"/>
  <c r="E132" i="23" s="1"/>
  <c r="C21" i="23"/>
  <c r="E21" i="23" s="1"/>
  <c r="F133" i="3"/>
  <c r="C133" i="23"/>
  <c r="E133" i="23" s="1"/>
  <c r="F158" i="3"/>
  <c r="C158" i="23"/>
  <c r="E158" i="23" s="1"/>
  <c r="F100" i="3"/>
  <c r="C100" i="23"/>
  <c r="E100" i="23" s="1"/>
  <c r="F155" i="3"/>
  <c r="C155" i="23"/>
  <c r="E155" i="23" s="1"/>
  <c r="F64" i="3"/>
  <c r="C64" i="23"/>
  <c r="E64" i="23" s="1"/>
  <c r="F124" i="3"/>
  <c r="C124" i="23"/>
  <c r="E124" i="23" s="1"/>
  <c r="C8" i="23"/>
  <c r="E8" i="23" s="1"/>
  <c r="F144" i="3"/>
  <c r="C144" i="23"/>
  <c r="E144" i="23" s="1"/>
  <c r="F62" i="3"/>
  <c r="C62" i="23"/>
  <c r="E62" i="23" s="1"/>
  <c r="F47" i="3"/>
  <c r="C47" i="23"/>
  <c r="E47" i="23" s="1"/>
  <c r="C12" i="23"/>
  <c r="E12" i="23" s="1"/>
  <c r="F123" i="3"/>
  <c r="C123" i="23"/>
  <c r="E123" i="23" s="1"/>
  <c r="C31" i="23"/>
  <c r="E31" i="23" s="1"/>
  <c r="F143" i="3"/>
  <c r="C143" i="23"/>
  <c r="E143" i="23" s="1"/>
  <c r="F37" i="3"/>
  <c r="C37" i="23"/>
  <c r="E37" i="23" s="1"/>
  <c r="F61" i="3"/>
  <c r="C61" i="23"/>
  <c r="E61" i="23" s="1"/>
  <c r="F140" i="3"/>
  <c r="C140" i="23"/>
  <c r="E140" i="23" s="1"/>
  <c r="C7" i="23"/>
  <c r="E7" i="23" s="1"/>
  <c r="F121" i="3"/>
  <c r="C121" i="23"/>
  <c r="E121" i="23" s="1"/>
  <c r="F75" i="3"/>
  <c r="C75" i="23"/>
  <c r="E75" i="23" s="1"/>
  <c r="F148" i="3"/>
  <c r="C148" i="23"/>
  <c r="E148" i="23" s="1"/>
  <c r="F41" i="3"/>
  <c r="C41" i="23"/>
  <c r="E41" i="23" s="1"/>
  <c r="F94" i="3"/>
  <c r="C94" i="23"/>
  <c r="E94" i="23" s="1"/>
  <c r="F43" i="3"/>
  <c r="C43" i="23"/>
  <c r="E43" i="23" s="1"/>
  <c r="F33" i="3"/>
  <c r="C33" i="23"/>
  <c r="E33" i="23" s="1"/>
  <c r="F52" i="3"/>
  <c r="C52" i="23"/>
  <c r="E52" i="23" s="1"/>
  <c r="F67" i="3"/>
  <c r="C67" i="23"/>
  <c r="E67" i="23" s="1"/>
  <c r="C13" i="23"/>
  <c r="E13" i="23" s="1"/>
  <c r="F92" i="3"/>
  <c r="C92" i="23"/>
  <c r="E92" i="23" s="1"/>
  <c r="C19" i="23"/>
  <c r="E19" i="23" s="1"/>
  <c r="F40" i="3"/>
  <c r="C40" i="23"/>
  <c r="E40" i="23" s="1"/>
  <c r="F130" i="3"/>
  <c r="C130" i="23"/>
  <c r="E130" i="23" s="1"/>
  <c r="F147" i="3"/>
  <c r="C147" i="23"/>
  <c r="E147" i="23" s="1"/>
  <c r="F153" i="3"/>
  <c r="C153" i="23"/>
  <c r="E153" i="23" s="1"/>
  <c r="F106" i="3"/>
  <c r="C106" i="23"/>
  <c r="E106" i="23" s="1"/>
  <c r="F156" i="3"/>
  <c r="C156" i="23"/>
  <c r="E156" i="23" s="1"/>
  <c r="C30" i="23"/>
  <c r="E30" i="23" s="1"/>
  <c r="C14" i="23"/>
  <c r="E14" i="23" s="1"/>
  <c r="F142" i="3"/>
  <c r="C142" i="23"/>
  <c r="E142" i="23" s="1"/>
  <c r="F83" i="3"/>
  <c r="L117" i="10"/>
  <c r="D123" i="10"/>
  <c r="D176" i="10" s="1"/>
  <c r="B11" i="17"/>
  <c r="F123" i="10" l="1"/>
  <c r="C176" i="10" l="1"/>
  <c r="E123" i="10"/>
  <c r="B176" i="10" s="1"/>
  <c r="F171" i="10"/>
  <c r="K10" i="10" l="1"/>
  <c r="J10" i="10"/>
  <c r="L10" i="10"/>
  <c r="M10" i="10"/>
  <c r="K19" i="10"/>
  <c r="L19" i="10"/>
  <c r="M19" i="10"/>
  <c r="J19" i="10"/>
  <c r="K23" i="10"/>
  <c r="L23" i="10"/>
  <c r="M23" i="10"/>
  <c r="J23" i="10"/>
  <c r="M4" i="10"/>
  <c r="K4" i="10"/>
  <c r="J4" i="10"/>
  <c r="L4" i="10"/>
  <c r="L31" i="10"/>
  <c r="M31" i="10"/>
  <c r="J31" i="10"/>
  <c r="K31" i="10"/>
  <c r="J28" i="10"/>
  <c r="K28" i="10"/>
  <c r="L28" i="10"/>
  <c r="M28" i="10"/>
  <c r="K14" i="10"/>
  <c r="J14" i="10"/>
  <c r="L14" i="10"/>
  <c r="M14" i="10"/>
  <c r="J24" i="10"/>
  <c r="K24" i="10"/>
  <c r="L24" i="10"/>
  <c r="M24" i="10"/>
  <c r="K25" i="10"/>
  <c r="L25" i="10"/>
  <c r="M25" i="10"/>
  <c r="J25" i="10"/>
  <c r="K15" i="10"/>
  <c r="L15" i="10"/>
  <c r="M15" i="10"/>
  <c r="J15" i="10"/>
  <c r="K21" i="10"/>
  <c r="L21" i="10"/>
  <c r="M21" i="10"/>
  <c r="J21" i="10"/>
  <c r="K3" i="10"/>
  <c r="L3" i="10"/>
  <c r="J3" i="10"/>
  <c r="M3" i="10"/>
  <c r="J9" i="10"/>
  <c r="K9" i="10"/>
  <c r="L9" i="10"/>
  <c r="M9" i="10"/>
  <c r="K22" i="10"/>
  <c r="L22" i="10"/>
  <c r="J22" i="10"/>
  <c r="M22" i="10"/>
  <c r="K20" i="10"/>
  <c r="J20" i="10"/>
  <c r="L20" i="10"/>
  <c r="M20" i="10"/>
  <c r="M7" i="10"/>
  <c r="J7" i="10"/>
  <c r="K7" i="10"/>
  <c r="L7" i="10"/>
  <c r="L27" i="10"/>
  <c r="M27" i="10"/>
  <c r="J27" i="10"/>
  <c r="K27" i="10"/>
  <c r="K5" i="10"/>
  <c r="J5" i="10"/>
  <c r="L5" i="10"/>
  <c r="M5" i="10"/>
  <c r="J16" i="10"/>
  <c r="K16" i="10"/>
  <c r="M16" i="10"/>
  <c r="L16" i="10"/>
  <c r="J12" i="10"/>
  <c r="K12" i="10"/>
  <c r="L12" i="10"/>
  <c r="M12" i="10"/>
  <c r="K26" i="10"/>
  <c r="J26" i="10"/>
  <c r="L26" i="10"/>
  <c r="M26" i="10"/>
  <c r="L8" i="10"/>
  <c r="M8" i="10"/>
  <c r="J8" i="10"/>
  <c r="K8" i="10"/>
  <c r="K17" i="10"/>
  <c r="L17" i="10"/>
  <c r="M17" i="10"/>
  <c r="J17" i="10"/>
  <c r="K13" i="10"/>
  <c r="L13" i="10"/>
  <c r="M13" i="10"/>
  <c r="J13" i="10"/>
  <c r="M6" i="10"/>
  <c r="K6" i="10"/>
  <c r="L6" i="10"/>
  <c r="J6" i="10"/>
  <c r="K11" i="10"/>
  <c r="L11" i="10"/>
  <c r="M11" i="10"/>
  <c r="J11" i="10"/>
  <c r="M2" i="10"/>
  <c r="J2" i="10"/>
  <c r="L2" i="10"/>
  <c r="K2" i="10"/>
  <c r="I32" i="10"/>
  <c r="J18" i="10"/>
  <c r="K18" i="10"/>
  <c r="L18" i="10"/>
  <c r="M18" i="10"/>
  <c r="L29" i="10"/>
  <c r="M29" i="10"/>
  <c r="K29" i="10"/>
  <c r="J29" i="10"/>
  <c r="J30" i="10"/>
  <c r="L30" i="10"/>
  <c r="K30" i="10"/>
  <c r="M30" i="10"/>
  <c r="F180" i="10"/>
  <c r="F32" i="10" l="1"/>
  <c r="E32" i="10" s="1"/>
  <c r="D32" i="10"/>
  <c r="D171" i="10" s="1"/>
  <c r="C190" i="10" s="1"/>
  <c r="G32" i="10"/>
  <c r="E171" i="10" s="1"/>
  <c r="G178" i="10"/>
  <c r="G174" i="10"/>
  <c r="G179" i="10"/>
  <c r="G176" i="10"/>
  <c r="G172" i="10"/>
  <c r="G177" i="10"/>
  <c r="G173" i="10"/>
  <c r="G175" i="10"/>
  <c r="G171" i="10"/>
  <c r="C171" i="10" l="1"/>
  <c r="B171" i="10"/>
  <c r="B190" i="10" s="1"/>
  <c r="G180" i="10"/>
  <c r="D184" i="10"/>
  <c r="D198" i="10"/>
  <c r="B198" i="10"/>
  <c r="C184" i="10"/>
  <c r="C198" i="10"/>
  <c r="B184" i="10"/>
  <c r="K171" i="10"/>
  <c r="H171" i="10"/>
  <c r="I171" i="10"/>
  <c r="J171" i="10"/>
  <c r="H174" i="10"/>
  <c r="J174" i="10"/>
  <c r="I174" i="10"/>
  <c r="K174" i="10"/>
  <c r="J175" i="10"/>
  <c r="H175" i="10"/>
  <c r="K175" i="10"/>
  <c r="I175" i="10"/>
  <c r="H173" i="10"/>
  <c r="I173" i="10"/>
  <c r="J173" i="10"/>
  <c r="K173" i="10"/>
  <c r="I177" i="10"/>
  <c r="J177" i="10"/>
  <c r="K177" i="10"/>
  <c r="H177" i="10"/>
  <c r="K172" i="10"/>
  <c r="I172" i="10"/>
  <c r="J172" i="10"/>
  <c r="H172" i="10"/>
  <c r="D190" i="10"/>
  <c r="J176" i="10"/>
  <c r="I176" i="10"/>
  <c r="K176" i="10"/>
  <c r="H176" i="10"/>
  <c r="I179" i="10"/>
  <c r="K179" i="10"/>
  <c r="H179" i="10"/>
  <c r="J179" i="10"/>
  <c r="H178" i="10"/>
  <c r="I178" i="10"/>
  <c r="K178" i="10"/>
  <c r="J178" i="10"/>
  <c r="C180" i="10" l="1"/>
  <c r="I180" i="10" s="1"/>
  <c r="E180" i="10"/>
  <c r="D194" i="10" s="1"/>
  <c r="B180" i="10"/>
  <c r="B194" i="10" s="1"/>
  <c r="D180" i="10"/>
  <c r="C194" i="10" s="1"/>
  <c r="J180" i="10" l="1"/>
  <c r="K180" i="10"/>
  <c r="H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E6" authorId="0" shapeId="0" xr:uid="{00000000-0006-0000-0200-000001000000}">
      <text>
        <r>
          <rPr>
            <b/>
            <sz val="10"/>
            <color rgb="FF000000"/>
            <rFont val="Calibri"/>
            <family val="2"/>
          </rPr>
          <t>Aswath Damodaran:</t>
        </r>
        <r>
          <rPr>
            <sz val="10"/>
            <color rgb="FF000000"/>
            <rFont val="Calibri"/>
            <family val="2"/>
          </rPr>
          <t xml:space="preserve">
</t>
        </r>
        <r>
          <rPr>
            <sz val="10"/>
            <color rgb="FF000000"/>
            <rFont val="Calibri"/>
            <family val="2"/>
          </rPr>
          <t>See worksheet on relative equity market volatility.</t>
        </r>
      </text>
    </comment>
  </commentList>
</comments>
</file>

<file path=xl/sharedStrings.xml><?xml version="1.0" encoding="utf-8"?>
<sst xmlns="http://schemas.openxmlformats.org/spreadsheetml/2006/main" count="4166" uniqueCount="655">
  <si>
    <t>Romania</t>
  </si>
  <si>
    <t>Russia</t>
  </si>
  <si>
    <t>Saudi Arabia</t>
  </si>
  <si>
    <t>Singapore</t>
  </si>
  <si>
    <t>Albania</t>
  </si>
  <si>
    <t>Belarus</t>
  </si>
  <si>
    <t>Cambodia</t>
  </si>
  <si>
    <t>Bosnia and Herzegovina</t>
  </si>
  <si>
    <t>Montenegro</t>
  </si>
  <si>
    <t>Papua New Guinea</t>
  </si>
  <si>
    <t>St. Vincent &amp; the Grenadines</t>
  </si>
  <si>
    <t>Trinidad and Tobago</t>
  </si>
  <si>
    <t>United States of America</t>
  </si>
  <si>
    <t>Lithuania</t>
  </si>
  <si>
    <t>Malaysia</t>
  </si>
  <si>
    <t>Mauritius</t>
  </si>
  <si>
    <t>Mexico</t>
  </si>
  <si>
    <t>Moldova</t>
  </si>
  <si>
    <t>Morocco</t>
  </si>
  <si>
    <t>Armenia</t>
  </si>
  <si>
    <t>Azerbaijan</t>
  </si>
  <si>
    <t>New Zealand</t>
  </si>
  <si>
    <t>Nicaragua</t>
  </si>
  <si>
    <t>Norway</t>
  </si>
  <si>
    <t>Oman</t>
  </si>
  <si>
    <t>Pakistan</t>
  </si>
  <si>
    <t>Panama</t>
  </si>
  <si>
    <t>Paraguay</t>
  </si>
  <si>
    <t>Peru</t>
  </si>
  <si>
    <t>Philippines</t>
  </si>
  <si>
    <t>Poland</t>
  </si>
  <si>
    <t>El Salvador</t>
  </si>
  <si>
    <t>Macao</t>
  </si>
  <si>
    <t>Suriname</t>
  </si>
  <si>
    <t>Sweden</t>
  </si>
  <si>
    <t>Switzerland</t>
  </si>
  <si>
    <t>Adj. Default Spread</t>
  </si>
  <si>
    <t>Country Risk Premium</t>
  </si>
  <si>
    <t>Has to be sorted in ascending order</t>
  </si>
  <si>
    <t>Rating</t>
  </si>
  <si>
    <t>Default spread in basis points</t>
  </si>
  <si>
    <t>A1</t>
  </si>
  <si>
    <t>A2</t>
  </si>
  <si>
    <t>A3</t>
  </si>
  <si>
    <t>Aa1</t>
  </si>
  <si>
    <t>Aa2</t>
  </si>
  <si>
    <t>Aa3</t>
  </si>
  <si>
    <t>Aaa</t>
  </si>
  <si>
    <t>B1</t>
  </si>
  <si>
    <t>B2</t>
  </si>
  <si>
    <t>Colombia</t>
  </si>
  <si>
    <t>Central and South America</t>
  </si>
  <si>
    <t>Region</t>
  </si>
  <si>
    <t>Australia &amp; New Zealand</t>
  </si>
  <si>
    <t>Caribbean</t>
  </si>
  <si>
    <t>Cayman Islands</t>
  </si>
  <si>
    <t>Costa Rica</t>
  </si>
  <si>
    <t>United Kingdom</t>
  </si>
  <si>
    <t>Caa2</t>
  </si>
  <si>
    <t>Hong Kong</t>
  </si>
  <si>
    <t>United Arab Emirates</t>
  </si>
  <si>
    <t>Slovakia</t>
  </si>
  <si>
    <t>Caa3</t>
  </si>
  <si>
    <t>Mongolia</t>
  </si>
  <si>
    <t>Taiwan</t>
  </si>
  <si>
    <t>Thailand</t>
  </si>
  <si>
    <t>Turkey</t>
  </si>
  <si>
    <t>Turkmenistan</t>
  </si>
  <si>
    <t>Ukraine</t>
  </si>
  <si>
    <t>Uruguay</t>
  </si>
  <si>
    <t>Venezuela</t>
  </si>
  <si>
    <t>Vietnam</t>
  </si>
  <si>
    <t>Enter the current risk premium for a mature equity market</t>
  </si>
  <si>
    <t>Yes</t>
  </si>
  <si>
    <t>Qatar</t>
  </si>
  <si>
    <t>Country</t>
  </si>
  <si>
    <t>South Africa</t>
  </si>
  <si>
    <t>Tunisia</t>
  </si>
  <si>
    <t>B3</t>
  </si>
  <si>
    <t>Ba1</t>
  </si>
  <si>
    <t>Ba2</t>
  </si>
  <si>
    <t>Ba3</t>
  </si>
  <si>
    <t>Baa1</t>
  </si>
  <si>
    <t>Baa2</t>
  </si>
  <si>
    <t>Argentina</t>
  </si>
  <si>
    <t>Australia</t>
  </si>
  <si>
    <t>Bahamas</t>
  </si>
  <si>
    <t>Bahrain</t>
  </si>
  <si>
    <t>Barbados</t>
  </si>
  <si>
    <t>Belize</t>
  </si>
  <si>
    <t>Bermuda</t>
  </si>
  <si>
    <t>Bolivia</t>
  </si>
  <si>
    <t>Brazil</t>
  </si>
  <si>
    <t xml:space="preserve">GOVERNMENT BOND RATINGS </t>
  </si>
  <si>
    <t>Bulgaria</t>
  </si>
  <si>
    <t>Canada</t>
  </si>
  <si>
    <t>Chile</t>
  </si>
  <si>
    <t>China</t>
  </si>
  <si>
    <t>Croatia</t>
  </si>
  <si>
    <t>Cuba</t>
  </si>
  <si>
    <t>Caa1</t>
  </si>
  <si>
    <t>Czech Republic</t>
  </si>
  <si>
    <t>Denmark</t>
  </si>
  <si>
    <t>Dominican Republic</t>
  </si>
  <si>
    <t>Ecuador</t>
  </si>
  <si>
    <t>Egypt</t>
  </si>
  <si>
    <t>Estonia</t>
  </si>
  <si>
    <t>Guatemala</t>
  </si>
  <si>
    <t>Honduras</t>
  </si>
  <si>
    <t>Hungary</t>
  </si>
  <si>
    <t>Iceland</t>
  </si>
  <si>
    <t>India</t>
  </si>
  <si>
    <t>Indonesia</t>
  </si>
  <si>
    <t>Isle of Man</t>
  </si>
  <si>
    <t>Israel</t>
  </si>
  <si>
    <t>Jamaica</t>
  </si>
  <si>
    <t>Japan</t>
  </si>
  <si>
    <t>Jordan</t>
  </si>
  <si>
    <t>Kazakhstan</t>
  </si>
  <si>
    <t>Korea</t>
  </si>
  <si>
    <t>Kuwait</t>
  </si>
  <si>
    <t>Latvia</t>
  </si>
  <si>
    <t>Lebanon</t>
  </si>
  <si>
    <t>Botswana</t>
  </si>
  <si>
    <t>Baa3</t>
  </si>
  <si>
    <t>Eastern Europe &amp; Russia</t>
  </si>
  <si>
    <t>Western Europe</t>
  </si>
  <si>
    <t>Middle East</t>
  </si>
  <si>
    <t>Africa</t>
  </si>
  <si>
    <t>Asia</t>
  </si>
  <si>
    <t>North America</t>
  </si>
  <si>
    <t>Angola</t>
  </si>
  <si>
    <t>Bangladesh</t>
  </si>
  <si>
    <t>Georgia</t>
  </si>
  <si>
    <t>Sri Lanka</t>
  </si>
  <si>
    <t>Senegal</t>
  </si>
  <si>
    <t>Namibia</t>
  </si>
  <si>
    <t>C</t>
  </si>
  <si>
    <t>Spain</t>
  </si>
  <si>
    <t>Rating-based Default Spread</t>
  </si>
  <si>
    <t>Total Equity Risk Premium</t>
  </si>
  <si>
    <t>Do you want to adjust the country default spread for the additional volatility of the equity market to get to a country premium?</t>
  </si>
  <si>
    <t>If yes, enter the multiplier to use on the default spread (See worksheet for volatility numbers for selected emerging markets)</t>
  </si>
  <si>
    <t>NA</t>
  </si>
  <si>
    <t>Italy</t>
  </si>
  <si>
    <t>Macedonia</t>
  </si>
  <si>
    <t>Serbia</t>
  </si>
  <si>
    <t>Average</t>
  </si>
  <si>
    <t>Median</t>
  </si>
  <si>
    <t>Country Risk Premiums</t>
  </si>
  <si>
    <t>To estimate the equity risk premium for a country, I start with a mature market premium and add an additional country risk premium, based upon the risk of the country in question.</t>
  </si>
  <si>
    <t>Step 1: Estimating mature market risk premium</t>
  </si>
  <si>
    <t>http://www.damodaran.com</t>
  </si>
  <si>
    <t>Link to site:</t>
  </si>
  <si>
    <t>Historical monthly ERP:</t>
  </si>
  <si>
    <t>Step 2: Estimate the default spread for the country in question. I offer two choices, one based upon the local currency sovereign rating for the country from Moody's and the other is the CDS spread for the country (if one exists)</t>
  </si>
  <si>
    <t>Moody's ratings:</t>
  </si>
  <si>
    <t>Ratings to spreads:</t>
  </si>
  <si>
    <t>CDS spreads:</t>
  </si>
  <si>
    <t>Bloomberg</t>
  </si>
  <si>
    <t>http://www.moodys.com</t>
  </si>
  <si>
    <t>(You will have to register, but it is free. Look under sovereign ratings)</t>
  </si>
  <si>
    <t>Based upon my estimates of typical spreads for each ratings class. I compute these by averaging CDS spreads and sovereign US$ bond spreads by ratings class, at the start of every year.</t>
  </si>
  <si>
    <t>Step 3: Convert the default spread into a country risk premium</t>
  </si>
  <si>
    <t>Add the mature market premium from step 1 to the country risk premium from step 3 to get a total equity risk premium.</t>
  </si>
  <si>
    <t>If you are interested in a fuller explanation of these concepts, try these references:</t>
  </si>
  <si>
    <t>My paper on equity risk premiums:</t>
  </si>
  <si>
    <t>Watch my lectures on country risk premiums:</t>
  </si>
  <si>
    <t>Row Labels</t>
  </si>
  <si>
    <t>Grand Total</t>
  </si>
  <si>
    <t>Average of Adj. Default Spread</t>
  </si>
  <si>
    <t>Values</t>
  </si>
  <si>
    <t>Average of Country Risk Premium</t>
  </si>
  <si>
    <t>Austria</t>
  </si>
  <si>
    <t>Belgium</t>
  </si>
  <si>
    <t>Cyprus</t>
  </si>
  <si>
    <t>Finland</t>
  </si>
  <si>
    <t>France</t>
  </si>
  <si>
    <t>Germany</t>
  </si>
  <si>
    <t>Greece</t>
  </si>
  <si>
    <t>Ireland</t>
  </si>
  <si>
    <t>Kenya</t>
  </si>
  <si>
    <t>Luxembourg</t>
  </si>
  <si>
    <t>Malta</t>
  </si>
  <si>
    <t>Netherlands</t>
  </si>
  <si>
    <t>Nigeria</t>
  </si>
  <si>
    <t>Portugal</t>
  </si>
  <si>
    <t>Slovenia</t>
  </si>
  <si>
    <t>St. Maarten</t>
  </si>
  <si>
    <t>Zambia</t>
  </si>
  <si>
    <t>US</t>
  </si>
  <si>
    <t>With sovereign ratings default spreads, you have two choices:</t>
  </si>
  <si>
    <t>With CDS spreads, I compute the base number in two steps</t>
  </si>
  <si>
    <t>B+</t>
  </si>
  <si>
    <t>Andorra</t>
  </si>
  <si>
    <t>A-</t>
  </si>
  <si>
    <t>BB-</t>
  </si>
  <si>
    <t>B-</t>
  </si>
  <si>
    <t>Aruba</t>
  </si>
  <si>
    <t>BBB+</t>
  </si>
  <si>
    <t>AAA</t>
  </si>
  <si>
    <t>AA+</t>
  </si>
  <si>
    <t>BBB-</t>
  </si>
  <si>
    <t>BBB</t>
  </si>
  <si>
    <t>AA</t>
  </si>
  <si>
    <t>Benin</t>
  </si>
  <si>
    <t>B</t>
  </si>
  <si>
    <t>AA-</t>
  </si>
  <si>
    <t>Burkina Faso</t>
  </si>
  <si>
    <t>Cameroon</t>
  </si>
  <si>
    <t>Cape Verde</t>
  </si>
  <si>
    <t>Cook Islands</t>
  </si>
  <si>
    <t>BB</t>
  </si>
  <si>
    <t>BB+</t>
  </si>
  <si>
    <t>Curacao</t>
  </si>
  <si>
    <t>CCC+</t>
  </si>
  <si>
    <t>Fiji</t>
  </si>
  <si>
    <t>Gabon</t>
  </si>
  <si>
    <t>Ghana</t>
  </si>
  <si>
    <t>A+</t>
  </si>
  <si>
    <t>Liechtenstein</t>
  </si>
  <si>
    <t>A</t>
  </si>
  <si>
    <t>Montserrat</t>
  </si>
  <si>
    <t>Mozambique</t>
  </si>
  <si>
    <t>Rwanda</t>
  </si>
  <si>
    <t>Uganda</t>
  </si>
  <si>
    <t>In local currency</t>
  </si>
  <si>
    <t>S&amp;P: These are the S&amp;P sovereign local currency ratings</t>
  </si>
  <si>
    <t>Moody's: These are the Moody's local currency rating</t>
  </si>
  <si>
    <t>Moody's equivalent rating for these countries.</t>
  </si>
  <si>
    <t>S&amp;P</t>
  </si>
  <si>
    <t>Moody's</t>
  </si>
  <si>
    <t>CCC</t>
  </si>
  <si>
    <t>CCC-</t>
  </si>
  <si>
    <t>CC+</t>
  </si>
  <si>
    <t>CC</t>
  </si>
  <si>
    <t>Ca2</t>
  </si>
  <si>
    <t>CC-</t>
  </si>
  <si>
    <t>Ca3</t>
  </si>
  <si>
    <t>C+</t>
  </si>
  <si>
    <t>C1</t>
  </si>
  <si>
    <t>C2</t>
  </si>
  <si>
    <t>C-</t>
  </si>
  <si>
    <t>C3</t>
  </si>
  <si>
    <t>Step 4: Compute a total equity risk premium</t>
  </si>
  <si>
    <t>Step 5: Compute regional averages and regional weighted averages</t>
  </si>
  <si>
    <t>For the regional averages, I use a simple average of the total and country risk premiums by region</t>
  </si>
  <si>
    <t xml:space="preserve">For the weighted averages, I use the World Bank GDP estimates from the most recent year. </t>
  </si>
  <si>
    <t>prefer not to scale the default spread.</t>
  </si>
  <si>
    <t>In red: These are countries where S&amp;P has a rating and Moody's does not. The following lookup table is used to estimate the</t>
  </si>
  <si>
    <t>Ca1</t>
  </si>
  <si>
    <t>Source:</t>
  </si>
  <si>
    <t>World Bank</t>
  </si>
  <si>
    <t>To look up the equity risk premium for a country, use this worksheet</t>
  </si>
  <si>
    <t>To look up the equity risk premium for a region, use this worksheet</t>
  </si>
  <si>
    <t>CDS spread</t>
  </si>
  <si>
    <t>Moody's sovereign rating</t>
  </si>
  <si>
    <t>S&amp;P sovereign rating</t>
  </si>
  <si>
    <t>Local currency</t>
  </si>
  <si>
    <t>Country Risk Premium (Rating)</t>
  </si>
  <si>
    <t>Equity Risk Premium (Rating)</t>
  </si>
  <si>
    <t>Country Risk Premium (CDS)</t>
  </si>
  <si>
    <t>Equity Risk Premium (CDS)</t>
  </si>
  <si>
    <t>Country Risk Premium (GDP weighted)</t>
  </si>
  <si>
    <t>Total Equity Risk Premium (GDP weighted)</t>
  </si>
  <si>
    <t>Use the look up table in the next worksheet, to look up the statistics for an individual country or region.</t>
  </si>
  <si>
    <t>S&amp;P Rating</t>
  </si>
  <si>
    <t>Moody's rating</t>
  </si>
  <si>
    <t>Abu Dhabi</t>
  </si>
  <si>
    <t>Republic of the Congo</t>
  </si>
  <si>
    <t>Democratic Republic of Congo</t>
  </si>
  <si>
    <t>Weight</t>
  </si>
  <si>
    <t>NR</t>
  </si>
  <si>
    <t>Weighted Average: CRP</t>
  </si>
  <si>
    <t>Country Risk Premium (simple average))</t>
  </si>
  <si>
    <t>Total Equity Risk Premium (simple average)</t>
  </si>
  <si>
    <t>Weighted Average: Default Spreads</t>
  </si>
  <si>
    <t>Global</t>
  </si>
  <si>
    <t>Côte d'Ivoire</t>
  </si>
  <si>
    <t>Ethiopia</t>
  </si>
  <si>
    <t>Sharjah</t>
  </si>
  <si>
    <t>Andorra (Principality of)</t>
  </si>
  <si>
    <t>Congo (Democratic Republic of)</t>
  </si>
  <si>
    <t>Congo (Republic of)</t>
  </si>
  <si>
    <t>Guernsey (States of)</t>
  </si>
  <si>
    <t>Jersey (States of)</t>
  </si>
  <si>
    <t>Ras Al Khaimah (Emirate of)</t>
  </si>
  <si>
    <t>Turks and Caicos Islands</t>
  </si>
  <si>
    <t>Moody's Rating</t>
  </si>
  <si>
    <t>Year</t>
  </si>
  <si>
    <t>GDP Weight</t>
  </si>
  <si>
    <t>Weight*ERP</t>
  </si>
  <si>
    <t>Weight*CRP</t>
  </si>
  <si>
    <t>Total GDP</t>
  </si>
  <si>
    <t>Weight *ERP</t>
  </si>
  <si>
    <t>Weight*Default Spread</t>
  </si>
  <si>
    <r>
      <rPr>
        <i/>
        <sz val="12"/>
        <rFont val="Calibri"/>
        <family val="2"/>
      </rPr>
      <t xml:space="preserve">Choice 1: </t>
    </r>
    <r>
      <rPr>
        <sz val="12"/>
        <rFont val="Calibri"/>
        <family val="2"/>
      </rPr>
      <t>Use the default spread as the measure of the additional country risk premium. To make this choice, go into the ERP worksheet and set cell E5 to 1.00.</t>
    </r>
  </si>
  <si>
    <t>Africa &amp; Mid East</t>
  </si>
  <si>
    <t>Latin America &amp; Caribbean</t>
  </si>
  <si>
    <t>Europe</t>
  </si>
  <si>
    <t>Emerging Markets</t>
  </si>
  <si>
    <t>For updating industry average spreadsheets</t>
  </si>
  <si>
    <t>Small Asia (No India, China &amp; Japan)</t>
  </si>
  <si>
    <t>Australia, NZ &amp; Canada</t>
  </si>
  <si>
    <t>ERP</t>
  </si>
  <si>
    <t>Default Spread</t>
  </si>
  <si>
    <t>Tax rate</t>
  </si>
  <si>
    <t>Somalia</t>
  </si>
  <si>
    <t>Syria</t>
  </si>
  <si>
    <t>Guinea</t>
  </si>
  <si>
    <t>Liberia</t>
  </si>
  <si>
    <t>Sudan</t>
  </si>
  <si>
    <t>Zimbabwe</t>
  </si>
  <si>
    <t>Niger</t>
  </si>
  <si>
    <t>Libya</t>
  </si>
  <si>
    <t>Yemen, Republic</t>
  </si>
  <si>
    <t>Togo</t>
  </si>
  <si>
    <t>Mali</t>
  </si>
  <si>
    <t>Haiti</t>
  </si>
  <si>
    <t>Malawi</t>
  </si>
  <si>
    <t>Iran</t>
  </si>
  <si>
    <t>Sierra Leone</t>
  </si>
  <si>
    <t>Guyana</t>
  </si>
  <si>
    <t>Iraq</t>
  </si>
  <si>
    <t>Tanzania</t>
  </si>
  <si>
    <t>Guinea-Bissau</t>
  </si>
  <si>
    <t>Gambia</t>
  </si>
  <si>
    <t>Myanmar</t>
  </si>
  <si>
    <t>Madagascar</t>
  </si>
  <si>
    <t>Algeria</t>
  </si>
  <si>
    <t>Brunei</t>
  </si>
  <si>
    <t>If you cannot find a country on this list, it is because that country does not have a sovereign rating</t>
  </si>
  <si>
    <t>or a sovereign CDS spread. Try the PRS worksheet in this spreadsheet for an alternate estimate.</t>
  </si>
  <si>
    <t>If you cannot find a country on this list, it is because that country does not have a sovereign rating or a sovereign CDS spread. Try the PRS worksheet in this spreadsheet for an alternate estimate.</t>
  </si>
  <si>
    <t>Laos</t>
  </si>
  <si>
    <t>Ca</t>
  </si>
  <si>
    <t>More than</t>
  </si>
  <si>
    <t>Less than</t>
  </si>
  <si>
    <t>PRS Score</t>
  </si>
  <si>
    <t>Final ERP</t>
  </si>
  <si>
    <t>Country Default Spread (based on rating)</t>
  </si>
  <si>
    <t>To construct your own regional ERP, use the data on GDP and ERP for countries in the Regional Weighted Averages Worksheet</t>
  </si>
  <si>
    <t>Kyrgyzstan</t>
  </si>
  <si>
    <t>Kyrgyz Republic</t>
  </si>
  <si>
    <t>Macau</t>
  </si>
  <si>
    <t>United States</t>
  </si>
  <si>
    <t>Tax Rate</t>
  </si>
  <si>
    <t>Corporate Tax Rate</t>
  </si>
  <si>
    <t>Weight * Tax Rate</t>
  </si>
  <si>
    <t>Weight* Tax Rate</t>
  </si>
  <si>
    <t>Index:</t>
  </si>
  <si>
    <t>Period</t>
  </si>
  <si>
    <t>Interval</t>
  </si>
  <si>
    <t>Daily</t>
  </si>
  <si>
    <t xml:space="preserve">Effective date </t>
  </si>
  <si>
    <t>Return</t>
  </si>
  <si>
    <t xml:space="preserve">S&amp;P </t>
  </si>
  <si>
    <t>S&amp;P Emerging BMI Index</t>
  </si>
  <si>
    <t>Cote d'Ivoire</t>
  </si>
  <si>
    <t>Korea, D.P.R.</t>
  </si>
  <si>
    <t>For countries not on the list above, try this frontier market list</t>
  </si>
  <si>
    <t>ERP based on PRS Score</t>
  </si>
  <si>
    <t>Frontier Markets (no sovereign ratings)</t>
  </si>
  <si>
    <t>PRS Composite Risk Score</t>
  </si>
  <si>
    <t>CRP</t>
  </si>
  <si>
    <t>Iran, Islamic Rep.</t>
  </si>
  <si>
    <t>Puerto Rico</t>
  </si>
  <si>
    <t>Uzbekistan</t>
  </si>
  <si>
    <t>Yemen, Rep.</t>
  </si>
  <si>
    <t>Nepal</t>
  </si>
  <si>
    <t>Afghanistan</t>
  </si>
  <si>
    <t>Brunei Darussalam</t>
  </si>
  <si>
    <t>West Bank and Gaza</t>
  </si>
  <si>
    <t>Equatorial Guinea</t>
  </si>
  <si>
    <t>Chad</t>
  </si>
  <si>
    <t>Tajikistan</t>
  </si>
  <si>
    <t>Kosovo</t>
  </si>
  <si>
    <t>Mauritania</t>
  </si>
  <si>
    <t>Swaziland</t>
  </si>
  <si>
    <t>Maldives</t>
  </si>
  <si>
    <t>Burundi</t>
  </si>
  <si>
    <t>Faroe Islands</t>
  </si>
  <si>
    <t>Greenland</t>
  </si>
  <si>
    <t>Lesotho</t>
  </si>
  <si>
    <t>Bhutan</t>
  </si>
  <si>
    <t>Djibouti</t>
  </si>
  <si>
    <t>Central African Republic</t>
  </si>
  <si>
    <t>Timor-Leste</t>
  </si>
  <si>
    <t>Seychelles</t>
  </si>
  <si>
    <t>St. Lucia</t>
  </si>
  <si>
    <t>Antigua and Barbuda</t>
  </si>
  <si>
    <t>Solomon Islands</t>
  </si>
  <si>
    <t>Grenada</t>
  </si>
  <si>
    <t>Gambia, The</t>
  </si>
  <si>
    <t>St. Kitts and Nevis</t>
  </si>
  <si>
    <t>Samoa</t>
  </si>
  <si>
    <t>Vanuatu</t>
  </si>
  <si>
    <t>St. Vincent and the Grenadines</t>
  </si>
  <si>
    <t>Comoros</t>
  </si>
  <si>
    <t>Dominica</t>
  </si>
  <si>
    <t>Tonga</t>
  </si>
  <si>
    <t>Micronesia, Fed. Sts.</t>
  </si>
  <si>
    <t>Palau</t>
  </si>
  <si>
    <t>Marshall Islands</t>
  </si>
  <si>
    <t>Kiribati</t>
  </si>
  <si>
    <t>Tuvalu</t>
  </si>
  <si>
    <t>Bonaire, Saint Eustatius and Saba</t>
  </si>
  <si>
    <t>Gibraltar</t>
  </si>
  <si>
    <t>Guernsey</t>
  </si>
  <si>
    <t>Hong Kong SAR</t>
  </si>
  <si>
    <t>Jersey</t>
  </si>
  <si>
    <t>Korea, Republic of</t>
  </si>
  <si>
    <t>Sint Maarten (Dutch part)</t>
  </si>
  <si>
    <t>St Maarten</t>
  </si>
  <si>
    <t>Yemen</t>
  </si>
  <si>
    <t>Europe average</t>
  </si>
  <si>
    <t>Oceania average</t>
  </si>
  <si>
    <t>North America average</t>
  </si>
  <si>
    <t>Latin America average</t>
  </si>
  <si>
    <t>OECD average</t>
  </si>
  <si>
    <t>Total Equity Risk Premium2</t>
  </si>
  <si>
    <t>Country Risk Premium3</t>
  </si>
  <si>
    <t>CDS % Change</t>
  </si>
  <si>
    <t xml:space="preserve">Ca </t>
  </si>
  <si>
    <t>Below Ca</t>
  </si>
  <si>
    <t>American Samoa</t>
  </si>
  <si>
    <t>Guam</t>
  </si>
  <si>
    <t>Monaco</t>
  </si>
  <si>
    <t>Northern Mariana Islands</t>
  </si>
  <si>
    <t>San Marino</t>
  </si>
  <si>
    <t>Virgin Islands (U.S.)</t>
  </si>
  <si>
    <t>Jersey (Channel Islands)</t>
  </si>
  <si>
    <t>Sint Maarten</t>
  </si>
  <si>
    <t>Dubai</t>
  </si>
  <si>
    <t>Equity Risk Premium</t>
  </si>
  <si>
    <t>Anguilla</t>
  </si>
  <si>
    <t>Congo (Democratic Republic of the)</t>
  </si>
  <si>
    <t>Ivory Coast</t>
  </si>
  <si>
    <t>Palestinian Territory</t>
  </si>
  <si>
    <t>Saint Kitts and Nevis</t>
  </si>
  <si>
    <t>Saint Lucia</t>
  </si>
  <si>
    <t>Saint Vincent and the Grenadines</t>
  </si>
  <si>
    <t>Average of Equity Risk Premium</t>
  </si>
  <si>
    <t>Eswatini</t>
  </si>
  <si>
    <t>Average of Corporate Tax Rate</t>
  </si>
  <si>
    <r>
      <rPr>
        <u/>
        <sz val="12"/>
        <rFont val="Calibri"/>
        <family val="2"/>
      </rPr>
      <t>Substep 2</t>
    </r>
    <r>
      <rPr>
        <sz val="12"/>
        <rFont val="Calibri"/>
        <family val="2"/>
      </rPr>
      <t>: I apply the scaling factor that you chose for the default spreads to this number to get a country risk premium. The default scaling is set at the my most recent year's estimate, but you can change it to 1, if you would</t>
    </r>
  </si>
  <si>
    <t>https://www.youtube.com/watch?v=aIRPvY2SQ94</t>
  </si>
  <si>
    <t>https://www.youtube.com/watch?v=D3IGn6tH03c</t>
  </si>
  <si>
    <t>Guernsey (Channel Islands)</t>
  </si>
  <si>
    <t>Country and Equity Risk Premiums</t>
  </si>
  <si>
    <t>Date of update:</t>
  </si>
  <si>
    <t>My paper on country risk premiums:</t>
  </si>
  <si>
    <t>North Macedonia</t>
  </si>
  <si>
    <t>Korea, Republic</t>
  </si>
  <si>
    <t xml:space="preserve">Serbia </t>
  </si>
  <si>
    <t>Sovereign CDS</t>
  </si>
  <si>
    <t>Updating Sequence</t>
  </si>
  <si>
    <t>1. Relative Risk Worksheet</t>
  </si>
  <si>
    <t>2. Sovereign Ratings</t>
  </si>
  <si>
    <t>3. CDS Worksheet</t>
  </si>
  <si>
    <t>4. Default Spreads</t>
  </si>
  <si>
    <t>5. PRS Worksheet</t>
  </si>
  <si>
    <t>6. Country GDP</t>
  </si>
  <si>
    <t>7. Country tax rates</t>
  </si>
  <si>
    <t>8. Regional Weighted averages</t>
  </si>
  <si>
    <t>eSwatini</t>
  </si>
  <si>
    <t>Weighted Average: ERP</t>
  </si>
  <si>
    <t>Congo</t>
  </si>
  <si>
    <t>S&amp;P Emerging BMI (USD)</t>
  </si>
  <si>
    <t>FC</t>
  </si>
  <si>
    <t>LC</t>
  </si>
  <si>
    <t>Bahamas-Offshore Banks</t>
  </si>
  <si>
    <t>Bahrain-Offshore Banks [1]</t>
  </si>
  <si>
    <t>Cayman Islands-Offshore Banks</t>
  </si>
  <si>
    <t>Democratic Republic of the Congo</t>
  </si>
  <si>
    <t>Hong Kong SAR, China</t>
  </si>
  <si>
    <t>Macao SAR, China</t>
  </si>
  <si>
    <t>Panama-Offshore Banks</t>
  </si>
  <si>
    <t>Taiwan, China</t>
  </si>
  <si>
    <t>Average Tax Rate</t>
  </si>
  <si>
    <t>Bahamas, The</t>
  </si>
  <si>
    <t>Cabo Verde</t>
  </si>
  <si>
    <t>Congo, Dem. Rep.</t>
  </si>
  <si>
    <t>Congo, Rep.</t>
  </si>
  <si>
    <t>Egypt, Arab Rep.</t>
  </si>
  <si>
    <t>Korea, Rep.</t>
  </si>
  <si>
    <t>Lao PDR</t>
  </si>
  <si>
    <t>Nauru</t>
  </si>
  <si>
    <t>Russian Federation</t>
  </si>
  <si>
    <t>Slovak Republic</t>
  </si>
  <si>
    <t>New Caledonia</t>
  </si>
  <si>
    <t>French Polynesia</t>
  </si>
  <si>
    <t>-</t>
  </si>
  <si>
    <t>Turkiye</t>
  </si>
  <si>
    <t>Std Dev (BMI)</t>
  </si>
  <si>
    <t>REL VOL</t>
  </si>
  <si>
    <t>Average Relative Volatility</t>
  </si>
  <si>
    <t>https://www.spglobal.com/spdji/en/indices/equity/sp-emerging-bmi/#overview</t>
  </si>
  <si>
    <t>Five years</t>
  </si>
  <si>
    <t>https://pages.stern.nyu.edu/~adamodar/pc/implprem/ERPbymonth.xls</t>
  </si>
  <si>
    <t>https://papers.ssrn.com/sol3/papers.cfm?abstract_id=4398884</t>
  </si>
  <si>
    <t>China, Peoples' Rep.</t>
  </si>
  <si>
    <t>Country Name</t>
  </si>
  <si>
    <t>Channel Islands</t>
  </si>
  <si>
    <t>Czechia</t>
  </si>
  <si>
    <t>Eritrea</t>
  </si>
  <si>
    <t>St. Martin (French part)</t>
  </si>
  <si>
    <t>Korea, Dem. People's Rep.</t>
  </si>
  <si>
    <t>South Sudan</t>
  </si>
  <si>
    <t>Sao Tome and Principe</t>
  </si>
  <si>
    <t>Syrian Arab Republic</t>
  </si>
  <si>
    <t>Venezuela, RB</t>
  </si>
  <si>
    <t>British Virgin Islands</t>
  </si>
  <si>
    <t>GDP (in millions) in 2022</t>
  </si>
  <si>
    <t>Date</t>
  </si>
  <si>
    <t>iShares JP Morgan USD Emerging Markets Bond ETF</t>
  </si>
  <si>
    <t>https://finance.yahoo.com/quote/EMB/</t>
  </si>
  <si>
    <t>Yahoo!</t>
  </si>
  <si>
    <t>Std Dev (JPM Sov Bond)</t>
  </si>
  <si>
    <r>
      <rPr>
        <i/>
        <sz val="12"/>
        <rFont val="Calibri"/>
        <family val="2"/>
      </rPr>
      <t xml:space="preserve">Choice 2: </t>
    </r>
    <r>
      <rPr>
        <sz val="12"/>
        <rFont val="Calibri"/>
        <family val="2"/>
      </rPr>
      <t>Scale the default spread up to reflect the higher risk of equity in the market, relative to the default spread. I used the ratio of the S&amp;P Emerging Market Equity Index std deviation to the iShares Emerging Market Bond Index standard deviation</t>
    </r>
  </si>
  <si>
    <t>Relative Equity Market Volatility</t>
  </si>
  <si>
    <t>Mature Marlet Premium</t>
  </si>
  <si>
    <t>Sovereign Ratings</t>
  </si>
  <si>
    <t>Default Spreads</t>
  </si>
  <si>
    <t>Update Notes</t>
  </si>
  <si>
    <r>
      <t xml:space="preserve">The ratings (Moody's and S&amp;P)  have been updated to reflect the most recent ratings. (See </t>
    </r>
    <r>
      <rPr>
        <b/>
        <sz val="12"/>
        <rFont val="Geneva"/>
        <family val="2"/>
      </rPr>
      <t>Ratings Worksheet</t>
    </r>
    <r>
      <rPr>
        <sz val="12"/>
        <rFont val="Geneva"/>
        <family val="2"/>
        <charset val="1"/>
      </rPr>
      <t>)</t>
    </r>
  </si>
  <si>
    <t>Bottom Line</t>
  </si>
  <si>
    <t>The combination of a lower base mature market premium and lower sovereign default spreads has led to lower equity risk premiums across the board, a climb down from historically high numbers at the start of the year.</t>
  </si>
  <si>
    <t>https://data.worldbank.org/indicator/NY.GDP.MKTP.CD</t>
  </si>
  <si>
    <t>EMEA</t>
  </si>
  <si>
    <t>For other regional groupings</t>
  </si>
  <si>
    <t>Africa average</t>
  </si>
  <si>
    <t>Viet Nam</t>
  </si>
  <si>
    <t>https://papers.ssrn.com/sol3/papers.cfm?abstract_id=4509578</t>
  </si>
  <si>
    <t>WR</t>
  </si>
  <si>
    <t>GDP (in millions) in 2023</t>
  </si>
  <si>
    <t>Congo, Dem. Republic</t>
  </si>
  <si>
    <t>Congo, Republic</t>
  </si>
  <si>
    <t>See "Relative Equity Volatilty" worksheet</t>
  </si>
  <si>
    <t>Moody's Rating (unadj)</t>
  </si>
  <si>
    <t>European Union</t>
  </si>
  <si>
    <t>South Korea</t>
  </si>
  <si>
    <t>FITCH</t>
  </si>
  <si>
    <t>Fitch</t>
  </si>
  <si>
    <t>Federated States of Micronesia</t>
  </si>
  <si>
    <r>
      <rPr>
        <b/>
        <sz val="10"/>
        <rFont val="Helvetica"/>
        <family val="2"/>
      </rPr>
      <t>Estimation note</t>
    </r>
    <r>
      <rPr>
        <sz val="10"/>
        <rFont val="Helvetica"/>
        <family val="2"/>
      </rPr>
      <t>: Those of you who have followed my attempts to estimate the relative equity market volatility know that I have struggled with getting a proxy for returns on emerging market sovereign bonds, and have used the coefficient of varation in yields to make that estimate. I have finally replaced that estimate with a return on an emerging market government bond ETF from iShares. The standard deviations are now computed consistently for emerigng equities and emerigng government bonds. (Using the old yield coefficient of variation approach would have yielded a ratio of 1.49 in this computation.)</t>
    </r>
  </si>
  <si>
    <t>S&amp;P/Fitch</t>
  </si>
  <si>
    <t>Fitch rating</t>
  </si>
  <si>
    <t>Updated Default Spread (1/1/25)</t>
  </si>
  <si>
    <t>Eastern Europe</t>
  </si>
  <si>
    <t>Implied ERP for S&amp;P 500 with adjusted dollar riskfree rate (for US Aa1 rating</t>
  </si>
  <si>
    <t>CDS Spread net of Switzerland</t>
  </si>
  <si>
    <t>CDS Spread adj for Switzerland</t>
  </si>
  <si>
    <t>MR</t>
  </si>
  <si>
    <t>Excess CDS spread (over Swiss CDS)</t>
  </si>
  <si>
    <t>Sovereign CDS, net of Swiss CDS</t>
  </si>
  <si>
    <t>To estimate the mature market risk premium, I start with the implied equity risk premium for the S&amp;P 500. To see the latest estimate for this number, go to my website and you can download the excel spreadsheet containing the implied premium</t>
  </si>
  <si>
    <t>Until the January 2025 update, I used the S&amp;P's equity risk premium as the mature market premium, drawing on the Moody's Aaa rating for the United States.</t>
  </si>
  <si>
    <r>
      <rPr>
        <u/>
        <sz val="12"/>
        <rFont val="Calibri"/>
        <family val="2"/>
      </rPr>
      <t>Substep 1:</t>
    </r>
    <r>
      <rPr>
        <sz val="12"/>
        <rFont val="Calibri"/>
        <family val="2"/>
      </rPr>
      <t xml:space="preserve"> Since the base equity premium is for a mature market (assumed to be default free), I net out the CDS spread for Switzerland (the lowest sovereign CDS) from each country's CDS to get a net spread.</t>
    </r>
  </si>
  <si>
    <t>* Adjusted to reflect US addition to Aa1 countries</t>
  </si>
  <si>
    <t>On May 16, 2025, Moody's downgraded the US from Aaa to Aa1. To get the mature market premium, I now subtract the US's country risk premium (based on its rating and the relative equity market volatility) from the S&amp;P's eRP</t>
  </si>
  <si>
    <t>Mature market premium = ERP for the S&amp;P 500 minus (Default spread for US sovereign rating × Relative Equity Volatility)</t>
  </si>
  <si>
    <t>GDP in 2024</t>
  </si>
  <si>
    <t>Africa Eastern and Southern</t>
  </si>
  <si>
    <t>Africa Western and Central</t>
  </si>
  <si>
    <t>Arab World</t>
  </si>
  <si>
    <t>Caribbean small states</t>
  </si>
  <si>
    <t>Central Europe and the Baltics</t>
  </si>
  <si>
    <t>Early-demographic dividend</t>
  </si>
  <si>
    <t>East Asia &amp; Pacific</t>
  </si>
  <si>
    <t>East Asia &amp; Pacific (excluding high income)</t>
  </si>
  <si>
    <t>East Asia &amp; Pacific (IDA &amp; IBRD countries)</t>
  </si>
  <si>
    <t>Euro area</t>
  </si>
  <si>
    <t>Europe &amp; Central Asia</t>
  </si>
  <si>
    <t>Europe &amp; Central Asia (excluding high income)</t>
  </si>
  <si>
    <t>Europe &amp; Central Asia (IDA &amp; IBRD countries)</t>
  </si>
  <si>
    <t>Fragile and conflict affected situations</t>
  </si>
  <si>
    <t>Heavily indebted poor countries (HIPC)</t>
  </si>
  <si>
    <t>High income</t>
  </si>
  <si>
    <t>IBRD only</t>
  </si>
  <si>
    <t>IDA &amp; IBRD total</t>
  </si>
  <si>
    <t>IDA blend</t>
  </si>
  <si>
    <t>IDA only</t>
  </si>
  <si>
    <t>IDA total</t>
  </si>
  <si>
    <t>Late-demographic dividend</t>
  </si>
  <si>
    <t>Latin America &amp; Caribbean (excluding high income)</t>
  </si>
  <si>
    <t>Latin America &amp; the Caribbean (IDA &amp; IBRD countries)</t>
  </si>
  <si>
    <t>Least developed countries: UN classification</t>
  </si>
  <si>
    <t>Low &amp; middle income</t>
  </si>
  <si>
    <t>Low income</t>
  </si>
  <si>
    <t>Lower middle income</t>
  </si>
  <si>
    <t>Middle East, North Africa, Afghanistan &amp; Pakistan</t>
  </si>
  <si>
    <t>Middle East, North Africa, Afghanistan &amp; Pakistan (excluding high income)</t>
  </si>
  <si>
    <t>Middle East, North Africa, Afghanistan &amp; Pakistan (IDA &amp; IBRD)</t>
  </si>
  <si>
    <t>Middle income</t>
  </si>
  <si>
    <t>Not classified</t>
  </si>
  <si>
    <t>OECD members</t>
  </si>
  <si>
    <t>Other small states</t>
  </si>
  <si>
    <t>Pacific island small states</t>
  </si>
  <si>
    <t>Post-demographic dividend</t>
  </si>
  <si>
    <t>Pre-demographic dividend</t>
  </si>
  <si>
    <t>Puerto Rico (US)</t>
  </si>
  <si>
    <t>Small states</t>
  </si>
  <si>
    <t>Somalia, Fed. Rep.</t>
  </si>
  <si>
    <t>South Asia</t>
  </si>
  <si>
    <t>South Asia (IDA &amp; IBRD)</t>
  </si>
  <si>
    <t>Sub-Saharan Africa</t>
  </si>
  <si>
    <t>Sub-Saharan Africa (excluding high income)</t>
  </si>
  <si>
    <t>Sub-Saharan Africa (IDA &amp; IBRD countries)</t>
  </si>
  <si>
    <t>World</t>
  </si>
  <si>
    <t>GDP (in millions) in 2024</t>
  </si>
  <si>
    <t>N/A</t>
  </si>
  <si>
    <t>SD</t>
  </si>
  <si>
    <t>St Vincent and the Grenadines</t>
  </si>
  <si>
    <t>RD</t>
  </si>
  <si>
    <t>Looked up for 2025</t>
  </si>
  <si>
    <t>Aland Islands</t>
  </si>
  <si>
    <t>Bonaire, Sint Eustatius and Saba</t>
  </si>
  <si>
    <t>Saint Barthelemy</t>
  </si>
  <si>
    <t>Falkland Islands (Malvinas)</t>
  </si>
  <si>
    <t>China, Hong Kong Special Administrative Region</t>
  </si>
  <si>
    <t>China, Macao Special Administrative Region</t>
  </si>
  <si>
    <t>Saint Martin (French Part)</t>
  </si>
  <si>
    <t>Niue</t>
  </si>
  <si>
    <t>Saint Helena</t>
  </si>
  <si>
    <t>Tokelau</t>
  </si>
  <si>
    <t>United States Virgin Islands</t>
  </si>
  <si>
    <t>Wallis and Futuna Islands</t>
  </si>
  <si>
    <t>2025 tax rate %</t>
  </si>
  <si>
    <t>Palestine</t>
  </si>
  <si>
    <t>Close </t>
  </si>
  <si>
    <t>CDS Spread (12/31/25)</t>
  </si>
  <si>
    <t>Mature market premium = 4.61% - (0.23% × 1.52) = 4.23%</t>
  </si>
  <si>
    <t>In January 2026, for  example, when the implied ERP for the S&amp;P 500 was 4.59% (over the adjusted dollar riskfree rate), the US had a rating of Aa1 and the default spread for that rating was 0.23% and the relative equity market volatility was 1.52</t>
  </si>
  <si>
    <t>Enter the current risk premium for the US =</t>
  </si>
  <si>
    <t>US equity risk premium computed using implied ERP approach</t>
  </si>
  <si>
    <t>Unired States</t>
  </si>
  <si>
    <r>
      <t>The starting point for the mature market premiums is the implied equity risk premium for the S&amp;P 500. You can review the calcualtion in this spreadsheet. (</t>
    </r>
    <r>
      <rPr>
        <b/>
        <sz val="12"/>
        <rFont val="Helvetica"/>
        <family val="2"/>
      </rPr>
      <t>https://pages.stern.nyu.edu/~adamodar/pc/implprem/ERPJan26.xlsx</t>
    </r>
    <r>
      <rPr>
        <sz val="12"/>
        <rFont val="Helvetica"/>
        <family val="2"/>
      </rPr>
      <t xml:space="preserve">). I net out a riskfree rate in US dollars, which is the treasury bond rate adjusted for the default spread for the US, to get an equity risk premium for the US.  I then back out the US default spread to get a mature market premium. </t>
    </r>
  </si>
  <si>
    <t>ERP for US = Implled Expected Return on US stocks - (US 10-yr T.Bond - Default spread for US)</t>
  </si>
  <si>
    <t>Mature market ERP = ERP for US - Default spread for US</t>
  </si>
  <si>
    <t>US ERP</t>
  </si>
  <si>
    <t>Mature market ERP</t>
  </si>
  <si>
    <r>
      <t xml:space="preserve"> The change in default spreads is computed by looking at percentage changes in sovereign CDS spreads over the period. (See </t>
    </r>
    <r>
      <rPr>
        <b/>
        <sz val="12"/>
        <rFont val="Geneva"/>
        <family val="2"/>
      </rPr>
      <t>Default Spreads for Ratings</t>
    </r>
    <r>
      <rPr>
        <sz val="12"/>
        <rFont val="Geneva"/>
        <family val="2"/>
        <charset val="1"/>
      </rPr>
      <t xml:space="preserve"> worksheet)</t>
    </r>
  </si>
  <si>
    <t>The biggest change in this update is in this measure. For the last few years, I have used the coefficient of variation in emerging market bond yields and the standard deviation of returns in emerging market equities. In this iteration, I have replaced the former with the standard defiation  in emerging market sovereign bond ETF returns, thus creating more consistency in the calcuatlions. While this change does not create a substantive shift in the numbers in this iteration, I think it is a more solid basis for computing this value in future ones.</t>
  </si>
  <si>
    <t>Venezuela [2]</t>
  </si>
  <si>
    <t>(Updated Feb 16 for sovereign ratings</t>
  </si>
  <si>
    <t>PRS in Jan 2026</t>
  </si>
  <si>
    <t xml:space="preserve"> Default Spread (12/31/25)</t>
  </si>
  <si>
    <t>Updated Default Spread (3/31/26)</t>
  </si>
  <si>
    <t>(March 31, 2021 - March 31, 2026)</t>
  </si>
  <si>
    <t>4/1/21 - 3/31/22</t>
  </si>
  <si>
    <t>4/1/22 - 3/31/23</t>
  </si>
  <si>
    <t>4/1/23 - 3/31/24</t>
  </si>
  <si>
    <t>4/1/24 - 3/31/25</t>
  </si>
  <si>
    <t>4/1/25 - 3/31/26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</si>
</sst>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409]mmmm\ d\,\ yyyy;@"/>
    <numFmt numFmtId="165" formatCode="0.0"/>
    <numFmt numFmtId="166" formatCode="0.000"/>
    <numFmt numFmtId="167" formatCode="[$-409]d\-mmm\-yy;@"/>
    <numFmt numFmtId="168" formatCode="0.000%"/>
    <numFmt numFmtId="169" formatCode="&quot;$&quot;#,##0"/>
  </numFmts>
  <fonts count="81">
    <font>
      <sz val="9"/>
      <name val="Geneva"/>
      <family val="2"/>
      <charset val="1"/>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i/>
      <sz val="9"/>
      <name val="Geneva"/>
      <family val="2"/>
      <charset val="1"/>
    </font>
    <font>
      <b/>
      <i/>
      <sz val="9"/>
      <name val="Geneva"/>
      <family val="2"/>
      <charset val="1"/>
    </font>
    <font>
      <sz val="9"/>
      <name val="Geneva"/>
      <family val="2"/>
      <charset val="1"/>
    </font>
    <font>
      <b/>
      <sz val="12"/>
      <name val="Times"/>
      <family val="1"/>
    </font>
    <font>
      <sz val="12"/>
      <name val="Times"/>
      <family val="1"/>
    </font>
    <font>
      <u/>
      <sz val="9"/>
      <color indexed="12"/>
      <name val="Geneva"/>
      <family val="2"/>
      <charset val="1"/>
    </font>
    <font>
      <sz val="8"/>
      <name val="Geneva"/>
      <family val="2"/>
      <charset val="1"/>
    </font>
    <font>
      <b/>
      <i/>
      <sz val="12"/>
      <name val="Times"/>
      <family val="1"/>
    </font>
    <font>
      <sz val="8"/>
      <name val="Verdana"/>
      <family val="2"/>
    </font>
    <font>
      <sz val="10"/>
      <name val="Arial"/>
      <family val="2"/>
    </font>
    <font>
      <b/>
      <sz val="8"/>
      <name val="Times New Roman"/>
      <family val="1"/>
    </font>
    <font>
      <u/>
      <sz val="8"/>
      <name val="Times New Roman"/>
      <family val="1"/>
    </font>
    <font>
      <sz val="9"/>
      <name val="Geneva"/>
      <family val="2"/>
      <charset val="1"/>
    </font>
    <font>
      <sz val="12"/>
      <name val="Geneva"/>
      <family val="2"/>
      <charset val="1"/>
    </font>
    <font>
      <sz val="12"/>
      <name val="Times New Roman"/>
      <family val="1"/>
    </font>
    <font>
      <sz val="12"/>
      <name val="Calibri"/>
      <family val="2"/>
    </font>
    <font>
      <sz val="10"/>
      <name val="Geneva"/>
      <family val="2"/>
      <charset val="1"/>
    </font>
    <font>
      <b/>
      <sz val="12"/>
      <name val="Calibri"/>
      <family val="2"/>
    </font>
    <font>
      <i/>
      <sz val="12"/>
      <name val="Times"/>
      <family val="1"/>
    </font>
    <font>
      <i/>
      <sz val="12"/>
      <name val="Calibri"/>
      <family val="2"/>
    </font>
    <font>
      <u/>
      <sz val="12"/>
      <name val="Calibri"/>
      <family val="2"/>
    </font>
    <font>
      <sz val="10"/>
      <name val="Times New Roman"/>
      <family val="1"/>
    </font>
    <font>
      <i/>
      <sz val="12"/>
      <name val="Geneva"/>
      <family val="2"/>
      <charset val="1"/>
    </font>
    <font>
      <sz val="10"/>
      <name val="Geogrotesque Rg"/>
    </font>
    <font>
      <b/>
      <sz val="14"/>
      <name val="Geneva"/>
      <family val="2"/>
      <charset val="1"/>
    </font>
    <font>
      <b/>
      <sz val="11"/>
      <color indexed="9"/>
      <name val="Calibri"/>
      <family val="2"/>
    </font>
    <font>
      <sz val="12"/>
      <name val="Calibri"/>
      <family val="2"/>
    </font>
    <font>
      <sz val="12"/>
      <name val="Calibri"/>
      <family val="2"/>
      <scheme val="minor"/>
    </font>
    <font>
      <i/>
      <sz val="12"/>
      <color rgb="FF000000"/>
      <name val="Calibri"/>
      <family val="2"/>
      <scheme val="minor"/>
    </font>
    <font>
      <i/>
      <sz val="12"/>
      <color theme="1"/>
      <name val="Calibri"/>
      <family val="2"/>
      <scheme val="minor"/>
    </font>
    <font>
      <sz val="12"/>
      <color rgb="FF000000"/>
      <name val="Calibri"/>
      <family val="2"/>
      <scheme val="minor"/>
    </font>
    <font>
      <b/>
      <sz val="12"/>
      <name val="Calibri"/>
      <family val="2"/>
      <scheme val="minor"/>
    </font>
    <font>
      <sz val="9"/>
      <color rgb="FFFF0000"/>
      <name val="Geneva"/>
      <family val="2"/>
      <charset val="1"/>
    </font>
    <font>
      <b/>
      <sz val="14"/>
      <name val="Calibri"/>
      <family val="2"/>
      <scheme val="minor"/>
    </font>
    <font>
      <i/>
      <sz val="12"/>
      <name val="Calibri"/>
      <family val="2"/>
      <scheme val="minor"/>
    </font>
    <font>
      <b/>
      <i/>
      <sz val="12"/>
      <name val="Calibri"/>
      <family val="2"/>
      <scheme val="minor"/>
    </font>
    <font>
      <u/>
      <sz val="12"/>
      <color indexed="12"/>
      <name val="Calibri"/>
      <family val="2"/>
      <scheme val="minor"/>
    </font>
    <font>
      <sz val="10"/>
      <color rgb="FFFF0000"/>
      <name val="Geneva"/>
      <family val="2"/>
      <charset val="1"/>
    </font>
    <font>
      <sz val="12"/>
      <color theme="1"/>
      <name val="Calibri"/>
      <family val="2"/>
      <scheme val="minor"/>
    </font>
    <font>
      <sz val="10"/>
      <color theme="1"/>
      <name val="Arial"/>
      <family val="2"/>
    </font>
    <font>
      <b/>
      <sz val="12"/>
      <color theme="1"/>
      <name val="Calibri"/>
      <family val="2"/>
      <scheme val="minor"/>
    </font>
    <font>
      <sz val="9"/>
      <color theme="1"/>
      <name val="Geneva"/>
      <family val="2"/>
      <charset val="1"/>
    </font>
    <font>
      <sz val="12"/>
      <color rgb="FF00B050"/>
      <name val="Calibri"/>
      <family val="2"/>
      <scheme val="minor"/>
    </font>
    <font>
      <sz val="10"/>
      <color rgb="FFFF0000"/>
      <name val="Arial"/>
      <family val="2"/>
    </font>
    <font>
      <sz val="12"/>
      <color rgb="FFFF0000"/>
      <name val="Calibri"/>
      <family val="2"/>
      <scheme val="minor"/>
    </font>
    <font>
      <sz val="15"/>
      <color rgb="FF8B0000"/>
      <name val="Helvetica Neue"/>
      <family val="2"/>
    </font>
    <font>
      <sz val="15"/>
      <color rgb="FF006400"/>
      <name val="Helvetica Neue"/>
      <family val="2"/>
    </font>
    <font>
      <sz val="10"/>
      <color rgb="FF00263A"/>
      <name val="Arial"/>
      <family val="2"/>
    </font>
    <font>
      <b/>
      <sz val="10"/>
      <color rgb="FF000000"/>
      <name val="Calibri"/>
      <family val="2"/>
    </font>
    <font>
      <sz val="10"/>
      <color rgb="FF000000"/>
      <name val="Calibri"/>
      <family val="2"/>
    </font>
    <font>
      <b/>
      <sz val="10"/>
      <name val="Helvetica"/>
      <family val="2"/>
    </font>
    <font>
      <sz val="10"/>
      <name val="Helvetica"/>
      <family val="2"/>
    </font>
    <font>
      <sz val="10"/>
      <color rgb="FF232A31"/>
      <name val="Helvetica Neue"/>
      <family val="2"/>
    </font>
    <font>
      <sz val="12"/>
      <name val="Helvetica"/>
      <family val="2"/>
    </font>
    <font>
      <i/>
      <sz val="12"/>
      <name val="Helvetica"/>
      <family val="2"/>
    </font>
    <font>
      <b/>
      <sz val="12"/>
      <name val="Geneva"/>
      <family val="2"/>
    </font>
    <font>
      <b/>
      <sz val="12"/>
      <name val="Helvetica"/>
      <family val="2"/>
    </font>
    <font>
      <sz val="10"/>
      <color rgb="FF000000"/>
      <name val="Helvetica"/>
      <family val="2"/>
    </font>
    <font>
      <b/>
      <sz val="10"/>
      <name val="Geneva"/>
      <family val="2"/>
    </font>
    <font>
      <sz val="15"/>
      <color rgb="FF212529"/>
      <name val="Helvetica Neue"/>
      <family val="2"/>
    </font>
    <font>
      <sz val="11"/>
      <color rgb="FF000000"/>
      <name val="Arial"/>
      <family val="2"/>
    </font>
    <font>
      <sz val="10.8"/>
      <color rgb="FF000000"/>
      <name val="Arial"/>
      <family val="2"/>
    </font>
    <font>
      <b/>
      <sz val="10"/>
      <name val="Times New Roman"/>
      <family val="1"/>
    </font>
    <font>
      <b/>
      <sz val="16"/>
      <color rgb="FF212529"/>
      <name val="Helvetica Neue"/>
      <family val="2"/>
    </font>
    <font>
      <sz val="16"/>
      <color rgb="FF212529"/>
      <name val="Helvetica Neue"/>
      <family val="2"/>
    </font>
    <font>
      <sz val="16"/>
      <color rgb="FF006400"/>
      <name val="Helvetica Neue"/>
      <family val="2"/>
    </font>
    <font>
      <sz val="16"/>
      <color rgb="FF8B0000"/>
      <name val="Helvetica Neue"/>
      <family val="2"/>
    </font>
    <font>
      <b/>
      <sz val="13"/>
      <color rgb="FF000000"/>
      <name val="Arial"/>
      <family val="2"/>
    </font>
    <font>
      <sz val="13"/>
      <color rgb="FF000000"/>
      <name val="Arial"/>
      <family val="2"/>
    </font>
    <font>
      <b/>
      <sz val="11"/>
      <name val="Calibri"/>
      <family val="2"/>
    </font>
    <font>
      <sz val="11"/>
      <name val="Calibri"/>
      <family val="2"/>
    </font>
    <font>
      <b/>
      <sz val="14"/>
      <color rgb="FF232A31"/>
      <name val="Arial"/>
      <family val="2"/>
    </font>
    <font>
      <sz val="14"/>
      <color rgb="FF232A31"/>
      <name val="Arial"/>
      <family val="2"/>
    </font>
    <font>
      <sz val="9"/>
      <name val="Geneva"/>
      <family val="2"/>
    </font>
    <font>
      <b/>
      <sz val="11"/>
      <name val="Arial"/>
      <family val="2"/>
    </font>
    <font>
      <b/>
      <sz val="12"/>
      <name val="Times"/>
    </font>
  </fonts>
  <fills count="1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4F81BD"/>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249977111117893"/>
        <bgColor theme="6" tint="-0.249977111117893"/>
      </patternFill>
    </fill>
    <fill>
      <patternFill patternType="solid">
        <fgColor theme="6" tint="0.39997558519241921"/>
        <bgColor theme="6" tint="0.39997558519241921"/>
      </patternFill>
    </fill>
    <fill>
      <patternFill patternType="solid">
        <fgColor theme="2"/>
        <bgColor indexed="64"/>
      </patternFill>
    </fill>
    <fill>
      <patternFill patternType="solid">
        <fgColor theme="0" tint="-0.249977111117893"/>
        <bgColor indexed="64"/>
      </patternFill>
    </fill>
    <fill>
      <patternFill patternType="solid">
        <fgColor theme="0" tint="-0.14999847407452621"/>
        <bgColor theme="0" tint="-0.14999847407452621"/>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theme="6" tint="-0.249977111117893"/>
      </top>
      <bottom style="thin">
        <color theme="6" tint="0.79998168889431442"/>
      </bottom>
      <diagonal/>
    </border>
    <border>
      <left/>
      <right/>
      <top style="thin">
        <color theme="6" tint="-0.249977111117893"/>
      </top>
      <bottom style="thin">
        <color theme="6" tint="0.59999389629810485"/>
      </bottom>
      <diagonal/>
    </border>
    <border>
      <left/>
      <right/>
      <top style="thin">
        <color theme="6" tint="0.79998168889431442"/>
      </top>
      <bottom style="thin">
        <color theme="6" tint="0.79998168889431442"/>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right/>
      <top/>
      <bottom style="thin">
        <color indexed="64"/>
      </bottom>
      <diagonal/>
    </border>
  </borders>
  <cellStyleXfs count="8">
    <xf numFmtId="0" fontId="0" fillId="0" borderId="0"/>
    <xf numFmtId="0" fontId="30" fillId="4" borderId="0"/>
    <xf numFmtId="43" fontId="14" fillId="0" borderId="0" applyFont="0" applyFill="0" applyBorder="0" applyAlignment="0" applyProtection="0"/>
    <xf numFmtId="0" fontId="10" fillId="0" borderId="0" applyNumberFormat="0" applyFill="0" applyBorder="0" applyAlignment="0" applyProtection="0">
      <alignment vertical="top"/>
      <protection locked="0"/>
    </xf>
    <xf numFmtId="0" fontId="14" fillId="0" borderId="0"/>
    <xf numFmtId="0" fontId="14" fillId="0" borderId="0"/>
    <xf numFmtId="0" fontId="14" fillId="0" borderId="0"/>
    <xf numFmtId="9" fontId="7" fillId="0" borderId="0" applyFont="0" applyFill="0" applyBorder="0" applyAlignment="0" applyProtection="0"/>
  </cellStyleXfs>
  <cellXfs count="275">
    <xf numFmtId="0" fontId="0" fillId="0" borderId="0" xfId="0"/>
    <xf numFmtId="0" fontId="5" fillId="0" borderId="0" xfId="0" applyFont="1"/>
    <xf numFmtId="0" fontId="6" fillId="0" borderId="0" xfId="0" applyFont="1"/>
    <xf numFmtId="0" fontId="8" fillId="0" borderId="0" xfId="0" applyFont="1" applyAlignment="1">
      <alignment horizontal="center"/>
    </xf>
    <xf numFmtId="0" fontId="0" fillId="0" borderId="1" xfId="0" applyBorder="1" applyAlignment="1">
      <alignment horizontal="center"/>
    </xf>
    <xf numFmtId="0" fontId="9" fillId="0" borderId="0" xfId="0" applyFont="1" applyAlignment="1">
      <alignment horizontal="left"/>
    </xf>
    <xf numFmtId="0" fontId="8" fillId="0" borderId="0" xfId="0" applyFont="1" applyAlignment="1">
      <alignment horizontal="centerContinuous"/>
    </xf>
    <xf numFmtId="0" fontId="12" fillId="0" borderId="1" xfId="0" applyFont="1" applyBorder="1"/>
    <xf numFmtId="0" fontId="9" fillId="0" borderId="1" xfId="0" applyFont="1" applyBorder="1"/>
    <xf numFmtId="0" fontId="9" fillId="0" borderId="1" xfId="0" applyFont="1" applyBorder="1" applyAlignment="1">
      <alignment horizontal="center"/>
    </xf>
    <xf numFmtId="10" fontId="9" fillId="0" borderId="1" xfId="7" applyNumberFormat="1" applyFont="1" applyBorder="1"/>
    <xf numFmtId="10" fontId="9" fillId="0" borderId="1" xfId="0" applyNumberFormat="1" applyFont="1" applyBorder="1" applyAlignment="1">
      <alignment horizontal="center"/>
    </xf>
    <xf numFmtId="10" fontId="0" fillId="2" borderId="1" xfId="0" applyNumberFormat="1" applyFill="1" applyBorder="1" applyAlignment="1">
      <alignment horizontal="center"/>
    </xf>
    <xf numFmtId="0" fontId="0" fillId="2" borderId="1" xfId="0" applyFill="1" applyBorder="1" applyAlignment="1">
      <alignment horizontal="center"/>
    </xf>
    <xf numFmtId="10" fontId="9" fillId="0" borderId="2" xfId="0" applyNumberFormat="1" applyFont="1" applyBorder="1" applyAlignment="1">
      <alignment horizontal="center"/>
    </xf>
    <xf numFmtId="0" fontId="0" fillId="0" borderId="1" xfId="0" applyBorder="1"/>
    <xf numFmtId="0" fontId="17" fillId="0" borderId="0" xfId="0" applyFont="1"/>
    <xf numFmtId="0" fontId="5" fillId="0" borderId="1" xfId="0" applyFont="1" applyBorder="1" applyAlignment="1">
      <alignment horizontal="center"/>
    </xf>
    <xf numFmtId="0" fontId="0" fillId="5" borderId="0" xfId="0" applyFill="1" applyAlignment="1">
      <alignment horizontal="center"/>
    </xf>
    <xf numFmtId="0" fontId="0" fillId="0" borderId="0" xfId="0" applyAlignment="1">
      <alignment horizontal="left"/>
    </xf>
    <xf numFmtId="0" fontId="18" fillId="0" borderId="0" xfId="0" applyFont="1"/>
    <xf numFmtId="10" fontId="9" fillId="0" borderId="1" xfId="7" applyNumberFormat="1" applyFont="1" applyBorder="1" applyAlignment="1">
      <alignment horizontal="center"/>
    </xf>
    <xf numFmtId="0" fontId="0" fillId="0" borderId="0" xfId="0" pivotButton="1"/>
    <xf numFmtId="10" fontId="0" fillId="0" borderId="0" xfId="0" applyNumberFormat="1"/>
    <xf numFmtId="10" fontId="32" fillId="0" borderId="1" xfId="0" applyNumberFormat="1" applyFont="1" applyBorder="1" applyAlignment="1">
      <alignment horizontal="center"/>
    </xf>
    <xf numFmtId="0" fontId="0" fillId="0" borderId="0" xfId="0" applyAlignment="1">
      <alignment horizontal="center"/>
    </xf>
    <xf numFmtId="10" fontId="9" fillId="0" borderId="0" xfId="7" applyNumberFormat="1" applyFont="1" applyBorder="1"/>
    <xf numFmtId="10" fontId="9" fillId="0" borderId="0" xfId="0" applyNumberFormat="1" applyFont="1" applyAlignment="1">
      <alignment horizontal="center"/>
    </xf>
    <xf numFmtId="0" fontId="33" fillId="0" borderId="1" xfId="0" applyFont="1" applyBorder="1"/>
    <xf numFmtId="0" fontId="34" fillId="0" borderId="1" xfId="0" applyFont="1" applyBorder="1"/>
    <xf numFmtId="0" fontId="35" fillId="0" borderId="1" xfId="0" applyFont="1" applyBorder="1"/>
    <xf numFmtId="0" fontId="21" fillId="0" borderId="0" xfId="0" applyFont="1"/>
    <xf numFmtId="0" fontId="36" fillId="0" borderId="0" xfId="0" applyFont="1"/>
    <xf numFmtId="0" fontId="32" fillId="0" borderId="1" xfId="6" applyFont="1" applyBorder="1"/>
    <xf numFmtId="0" fontId="32" fillId="0" borderId="1" xfId="6" applyFont="1" applyBorder="1" applyAlignment="1">
      <alignment horizontal="left"/>
    </xf>
    <xf numFmtId="0" fontId="37" fillId="0" borderId="0" xfId="0" applyFont="1"/>
    <xf numFmtId="0" fontId="19" fillId="0" borderId="1" xfId="6" applyFont="1" applyBorder="1" applyAlignment="1">
      <alignment horizontal="left"/>
    </xf>
    <xf numFmtId="0" fontId="38" fillId="0" borderId="0" xfId="0" applyFont="1"/>
    <xf numFmtId="0" fontId="32" fillId="0" borderId="0" xfId="0" applyFont="1"/>
    <xf numFmtId="0" fontId="32" fillId="6" borderId="1" xfId="0" applyFont="1" applyFill="1" applyBorder="1"/>
    <xf numFmtId="0" fontId="32" fillId="0" borderId="0" xfId="0" applyFont="1" applyAlignment="1">
      <alignment horizontal="center"/>
    </xf>
    <xf numFmtId="0" fontId="32" fillId="7" borderId="1" xfId="0" applyFont="1" applyFill="1" applyBorder="1" applyAlignment="1">
      <alignment horizontal="center"/>
    </xf>
    <xf numFmtId="10" fontId="32" fillId="7" borderId="1" xfId="7" applyNumberFormat="1" applyFont="1" applyFill="1" applyBorder="1" applyAlignment="1">
      <alignment horizontal="center"/>
    </xf>
    <xf numFmtId="0" fontId="0" fillId="6" borderId="1" xfId="0" applyFill="1" applyBorder="1"/>
    <xf numFmtId="10" fontId="7" fillId="7" borderId="1" xfId="7" applyNumberFormat="1" applyFont="1" applyFill="1" applyBorder="1"/>
    <xf numFmtId="0" fontId="32" fillId="0" borderId="3" xfId="0" applyFont="1" applyBorder="1"/>
    <xf numFmtId="0" fontId="32" fillId="0" borderId="1" xfId="0" applyFont="1" applyBorder="1"/>
    <xf numFmtId="10" fontId="0" fillId="0" borderId="0" xfId="7" applyNumberFormat="1" applyFont="1"/>
    <xf numFmtId="10" fontId="0" fillId="0" borderId="0" xfId="7" applyNumberFormat="1" applyFont="1" applyAlignment="1">
      <alignment horizontal="center"/>
    </xf>
    <xf numFmtId="0" fontId="22" fillId="8" borderId="0" xfId="0" applyFont="1" applyFill="1" applyAlignment="1">
      <alignment horizontal="left" vertical="center" wrapText="1"/>
    </xf>
    <xf numFmtId="0" fontId="20" fillId="0" borderId="3" xfId="0" applyFont="1" applyBorder="1"/>
    <xf numFmtId="0" fontId="23" fillId="0" borderId="1" xfId="0" applyFont="1" applyBorder="1"/>
    <xf numFmtId="0" fontId="23" fillId="0" borderId="2" xfId="0" applyFont="1" applyBorder="1" applyAlignment="1">
      <alignment horizontal="center"/>
    </xf>
    <xf numFmtId="0" fontId="36" fillId="0" borderId="1" xfId="0" applyFont="1" applyBorder="1" applyAlignment="1">
      <alignment horizontal="center"/>
    </xf>
    <xf numFmtId="10" fontId="36" fillId="0" borderId="1" xfId="7" applyNumberFormat="1" applyFont="1" applyBorder="1" applyAlignment="1">
      <alignment horizontal="center"/>
    </xf>
    <xf numFmtId="10" fontId="36" fillId="0" borderId="2" xfId="0" applyNumberFormat="1" applyFont="1" applyBorder="1" applyAlignment="1">
      <alignment horizontal="center"/>
    </xf>
    <xf numFmtId="0" fontId="32" fillId="0" borderId="1" xfId="0" applyFont="1" applyBorder="1" applyAlignment="1">
      <alignment horizontal="center"/>
    </xf>
    <xf numFmtId="10" fontId="32" fillId="0" borderId="1" xfId="7" applyNumberFormat="1" applyFont="1" applyBorder="1" applyAlignment="1">
      <alignment horizontal="center"/>
    </xf>
    <xf numFmtId="0" fontId="36" fillId="0" borderId="1" xfId="0" applyFont="1" applyBorder="1"/>
    <xf numFmtId="0" fontId="39" fillId="0" borderId="0" xfId="0" applyFont="1"/>
    <xf numFmtId="10" fontId="32" fillId="0" borderId="0" xfId="7" applyNumberFormat="1" applyFont="1"/>
    <xf numFmtId="10" fontId="36" fillId="0" borderId="0" xfId="0" applyNumberFormat="1" applyFont="1"/>
    <xf numFmtId="10" fontId="36" fillId="0" borderId="1" xfId="0" applyNumberFormat="1" applyFont="1" applyBorder="1" applyAlignment="1">
      <alignment horizontal="center"/>
    </xf>
    <xf numFmtId="10" fontId="0" fillId="0" borderId="0" xfId="0" applyNumberFormat="1" applyAlignment="1">
      <alignment horizontal="center"/>
    </xf>
    <xf numFmtId="0" fontId="5" fillId="0" borderId="1" xfId="0" applyFont="1" applyBorder="1"/>
    <xf numFmtId="10" fontId="0" fillId="0" borderId="1" xfId="0" applyNumberFormat="1" applyBorder="1" applyAlignment="1">
      <alignment horizontal="center"/>
    </xf>
    <xf numFmtId="0" fontId="36" fillId="8" borderId="1" xfId="0" applyFont="1" applyFill="1" applyBorder="1" applyAlignment="1">
      <alignment horizontal="left" vertical="center" wrapText="1"/>
    </xf>
    <xf numFmtId="0" fontId="36" fillId="8" borderId="1" xfId="0" applyFont="1" applyFill="1" applyBorder="1" applyAlignment="1">
      <alignment horizontal="center" vertical="center" wrapText="1"/>
    </xf>
    <xf numFmtId="0" fontId="18" fillId="0" borderId="1" xfId="0" applyFont="1" applyBorder="1" applyAlignment="1">
      <alignment horizontal="center"/>
    </xf>
    <xf numFmtId="0" fontId="35" fillId="0" borderId="1" xfId="0" applyFont="1" applyBorder="1" applyAlignment="1">
      <alignment horizontal="center"/>
    </xf>
    <xf numFmtId="0" fontId="40" fillId="0" borderId="0" xfId="0" applyFont="1"/>
    <xf numFmtId="0" fontId="41" fillId="0" borderId="0" xfId="3" applyFont="1" applyAlignment="1" applyProtection="1"/>
    <xf numFmtId="10" fontId="0" fillId="0" borderId="1" xfId="7" applyNumberFormat="1" applyFont="1" applyBorder="1" applyAlignment="1">
      <alignment horizontal="center"/>
    </xf>
    <xf numFmtId="0" fontId="27" fillId="0" borderId="0" xfId="0" applyFont="1"/>
    <xf numFmtId="0" fontId="42" fillId="0" borderId="0" xfId="0" applyFont="1"/>
    <xf numFmtId="165" fontId="26" fillId="0" borderId="0" xfId="0" applyNumberFormat="1" applyFont="1" applyAlignment="1">
      <alignment horizontal="center"/>
    </xf>
    <xf numFmtId="10" fontId="32" fillId="7" borderId="0" xfId="7" applyNumberFormat="1" applyFont="1" applyFill="1" applyAlignment="1">
      <alignment horizontal="center"/>
    </xf>
    <xf numFmtId="0" fontId="0" fillId="0" borderId="0" xfId="0" applyAlignment="1">
      <alignment wrapText="1"/>
    </xf>
    <xf numFmtId="1" fontId="0" fillId="0" borderId="1" xfId="0" applyNumberFormat="1" applyBorder="1"/>
    <xf numFmtId="2" fontId="0" fillId="0" borderId="0" xfId="0" applyNumberFormat="1"/>
    <xf numFmtId="0" fontId="28" fillId="0" borderId="0" xfId="0" applyFont="1"/>
    <xf numFmtId="14" fontId="28" fillId="0" borderId="0" xfId="0" applyNumberFormat="1" applyFont="1" applyAlignment="1">
      <alignment wrapText="1"/>
    </xf>
    <xf numFmtId="0" fontId="28" fillId="0" borderId="0" xfId="0" applyFont="1" applyAlignment="1">
      <alignment wrapText="1"/>
    </xf>
    <xf numFmtId="2" fontId="0" fillId="0" borderId="1" xfId="0" applyNumberFormat="1" applyBorder="1"/>
    <xf numFmtId="2" fontId="0" fillId="2" borderId="1" xfId="0" applyNumberFormat="1" applyFill="1" applyBorder="1" applyAlignment="1">
      <alignment horizontal="center"/>
    </xf>
    <xf numFmtId="0" fontId="32" fillId="0" borderId="0" xfId="0" applyFont="1" applyAlignment="1">
      <alignment horizontal="left"/>
    </xf>
    <xf numFmtId="2" fontId="7" fillId="7" borderId="1" xfId="7" applyNumberFormat="1" applyFont="1" applyFill="1" applyBorder="1" applyAlignment="1">
      <alignment horizontal="center"/>
    </xf>
    <xf numFmtId="10" fontId="7" fillId="7" borderId="1" xfId="7" applyNumberFormat="1" applyFont="1" applyFill="1" applyBorder="1" applyAlignment="1">
      <alignment horizontal="center"/>
    </xf>
    <xf numFmtId="0" fontId="29" fillId="0" borderId="0" xfId="0" applyFont="1"/>
    <xf numFmtId="0" fontId="20" fillId="0" borderId="0" xfId="0" applyFont="1"/>
    <xf numFmtId="0" fontId="20" fillId="0" borderId="0" xfId="0" applyFont="1" applyAlignment="1">
      <alignment horizontal="left"/>
    </xf>
    <xf numFmtId="10" fontId="9" fillId="0" borderId="5" xfId="0" applyNumberFormat="1" applyFont="1" applyBorder="1" applyAlignment="1">
      <alignment horizontal="center"/>
    </xf>
    <xf numFmtId="10" fontId="43" fillId="0" borderId="1" xfId="7" applyNumberFormat="1" applyFont="1" applyBorder="1" applyAlignment="1">
      <alignment horizontal="center"/>
    </xf>
    <xf numFmtId="10" fontId="0" fillId="0" borderId="1" xfId="7" applyNumberFormat="1" applyFont="1" applyBorder="1"/>
    <xf numFmtId="0" fontId="5" fillId="5" borderId="0" xfId="0" applyFont="1" applyFill="1" applyAlignment="1">
      <alignment horizontal="left"/>
    </xf>
    <xf numFmtId="0" fontId="5" fillId="0" borderId="0" xfId="0" applyFont="1" applyAlignment="1">
      <alignment horizontal="center"/>
    </xf>
    <xf numFmtId="0" fontId="40" fillId="0" borderId="1" xfId="0" applyFont="1" applyBorder="1"/>
    <xf numFmtId="166" fontId="0" fillId="0" borderId="1" xfId="0" applyNumberFormat="1" applyBorder="1"/>
    <xf numFmtId="10" fontId="23" fillId="0" borderId="0" xfId="0" applyNumberFormat="1" applyFont="1" applyAlignment="1">
      <alignment horizontal="center"/>
    </xf>
    <xf numFmtId="0" fontId="10" fillId="0" borderId="0" xfId="3" applyAlignment="1" applyProtection="1"/>
    <xf numFmtId="0" fontId="44" fillId="3" borderId="6" xfId="6" applyFont="1" applyFill="1" applyBorder="1" applyAlignment="1">
      <alignment vertical="center"/>
    </xf>
    <xf numFmtId="0" fontId="0" fillId="0" borderId="1" xfId="0" applyBorder="1" applyAlignment="1">
      <alignment horizontal="left"/>
    </xf>
    <xf numFmtId="0" fontId="8" fillId="0" borderId="0" xfId="0" applyFont="1" applyAlignment="1">
      <alignment horizontal="left"/>
    </xf>
    <xf numFmtId="0" fontId="5" fillId="0" borderId="0" xfId="0" applyFont="1" applyAlignment="1">
      <alignment horizontal="left"/>
    </xf>
    <xf numFmtId="165" fontId="20" fillId="0" borderId="5" xfId="0" applyNumberFormat="1" applyFont="1" applyBorder="1" applyAlignment="1">
      <alignment horizontal="left"/>
    </xf>
    <xf numFmtId="0" fontId="9" fillId="0" borderId="7" xfId="0" applyFont="1" applyBorder="1" applyAlignment="1">
      <alignment horizontal="left"/>
    </xf>
    <xf numFmtId="0" fontId="12" fillId="0" borderId="8" xfId="0" applyFont="1" applyBorder="1" applyAlignment="1">
      <alignment horizontal="left"/>
    </xf>
    <xf numFmtId="0" fontId="0" fillId="0" borderId="5" xfId="0" applyBorder="1" applyAlignment="1">
      <alignment horizontal="left"/>
    </xf>
    <xf numFmtId="0" fontId="9" fillId="0" borderId="5" xfId="0" applyFont="1" applyBorder="1" applyAlignment="1">
      <alignment horizontal="center"/>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9" xfId="0" applyFont="1" applyBorder="1" applyAlignment="1">
      <alignment horizontal="center"/>
    </xf>
    <xf numFmtId="10" fontId="9" fillId="0" borderId="4" xfId="0" applyNumberFormat="1" applyFont="1" applyBorder="1" applyAlignment="1">
      <alignment horizontal="center"/>
    </xf>
    <xf numFmtId="10" fontId="9" fillId="0" borderId="10" xfId="0" applyNumberFormat="1" applyFont="1" applyBorder="1" applyAlignment="1">
      <alignment horizontal="center"/>
    </xf>
    <xf numFmtId="0" fontId="45" fillId="0" borderId="1" xfId="0" applyFont="1" applyBorder="1"/>
    <xf numFmtId="10" fontId="45" fillId="0" borderId="1" xfId="0" applyNumberFormat="1" applyFont="1" applyBorder="1" applyAlignment="1">
      <alignment horizontal="center"/>
    </xf>
    <xf numFmtId="0" fontId="0" fillId="0" borderId="5" xfId="0" applyBorder="1" applyAlignment="1">
      <alignment horizontal="center"/>
    </xf>
    <xf numFmtId="0" fontId="36" fillId="0" borderId="1" xfId="0" applyFont="1" applyBorder="1" applyAlignment="1">
      <alignment horizontal="center" vertical="center" wrapText="1"/>
    </xf>
    <xf numFmtId="10" fontId="32" fillId="0" borderId="1" xfId="7" applyNumberFormat="1" applyFont="1" applyFill="1" applyBorder="1" applyAlignment="1">
      <alignment horizontal="center"/>
    </xf>
    <xf numFmtId="2" fontId="9" fillId="0" borderId="1" xfId="0" applyNumberFormat="1" applyFont="1" applyBorder="1" applyAlignment="1">
      <alignment horizontal="center"/>
    </xf>
    <xf numFmtId="2" fontId="0" fillId="0" borderId="0" xfId="0" applyNumberFormat="1" applyAlignment="1">
      <alignment horizontal="center"/>
    </xf>
    <xf numFmtId="0" fontId="31" fillId="0" borderId="3" xfId="0" applyFont="1" applyBorder="1"/>
    <xf numFmtId="1" fontId="0" fillId="0" borderId="1" xfId="0" applyNumberFormat="1" applyBorder="1" applyAlignment="1">
      <alignment horizontal="center"/>
    </xf>
    <xf numFmtId="0" fontId="0" fillId="9" borderId="1" xfId="0" applyFill="1" applyBorder="1" applyAlignment="1">
      <alignment horizontal="center"/>
    </xf>
    <xf numFmtId="10" fontId="7" fillId="9" borderId="1" xfId="7" applyNumberFormat="1" applyFont="1" applyFill="1" applyBorder="1" applyAlignment="1">
      <alignment horizontal="center"/>
    </xf>
    <xf numFmtId="2" fontId="40" fillId="0" borderId="1" xfId="0" applyNumberFormat="1" applyFont="1" applyBorder="1"/>
    <xf numFmtId="2" fontId="32" fillId="0" borderId="1" xfId="0" applyNumberFormat="1" applyFont="1" applyBorder="1" applyAlignment="1">
      <alignment horizontal="center" wrapText="1"/>
    </xf>
    <xf numFmtId="2" fontId="19" fillId="0" borderId="1" xfId="0" applyNumberFormat="1" applyFont="1" applyBorder="1" applyAlignment="1">
      <alignment horizontal="center"/>
    </xf>
    <xf numFmtId="2" fontId="32" fillId="0" borderId="0" xfId="0" applyNumberFormat="1" applyFont="1" applyAlignment="1">
      <alignment horizontal="center"/>
    </xf>
    <xf numFmtId="0" fontId="46" fillId="10" borderId="21" xfId="0" applyFont="1" applyFill="1" applyBorder="1"/>
    <xf numFmtId="0" fontId="46" fillId="10" borderId="22" xfId="0" applyFont="1" applyFill="1" applyBorder="1"/>
    <xf numFmtId="0" fontId="46" fillId="11" borderId="23" xfId="0" applyFont="1" applyFill="1" applyBorder="1" applyAlignment="1">
      <alignment horizontal="left"/>
    </xf>
    <xf numFmtId="10" fontId="46" fillId="11" borderId="23" xfId="0" applyNumberFormat="1" applyFont="1" applyFill="1" applyBorder="1"/>
    <xf numFmtId="0" fontId="47" fillId="0" borderId="1" xfId="0" applyFont="1" applyBorder="1"/>
    <xf numFmtId="0" fontId="43" fillId="0" borderId="1" xfId="0" applyFont="1" applyBorder="1"/>
    <xf numFmtId="14" fontId="36" fillId="0" borderId="1" xfId="7" applyNumberFormat="1" applyFont="1" applyBorder="1" applyAlignment="1">
      <alignment horizontal="center" vertical="center" wrapText="1"/>
    </xf>
    <xf numFmtId="0" fontId="44" fillId="3" borderId="1" xfId="6" applyFont="1" applyFill="1" applyBorder="1" applyAlignment="1">
      <alignment vertical="center"/>
    </xf>
    <xf numFmtId="10" fontId="40" fillId="0" borderId="1" xfId="7" applyNumberFormat="1" applyFont="1" applyBorder="1" applyAlignment="1">
      <alignment horizontal="center"/>
    </xf>
    <xf numFmtId="10" fontId="12" fillId="0" borderId="0" xfId="7" applyNumberFormat="1" applyFont="1" applyFill="1" applyBorder="1" applyAlignment="1">
      <alignment horizontal="center"/>
    </xf>
    <xf numFmtId="10" fontId="9" fillId="13" borderId="1" xfId="0" applyNumberFormat="1" applyFont="1" applyFill="1" applyBorder="1" applyAlignment="1">
      <alignment horizontal="center"/>
    </xf>
    <xf numFmtId="2" fontId="36" fillId="0" borderId="1" xfId="0" applyNumberFormat="1" applyFont="1" applyBorder="1" applyAlignment="1">
      <alignment horizontal="center"/>
    </xf>
    <xf numFmtId="0" fontId="20" fillId="0" borderId="3" xfId="0" quotePrefix="1" applyFont="1" applyBorder="1"/>
    <xf numFmtId="0" fontId="9" fillId="0" borderId="11" xfId="0" applyFont="1" applyBorder="1"/>
    <xf numFmtId="0" fontId="44" fillId="3" borderId="1" xfId="6" applyFont="1" applyFill="1" applyBorder="1" applyAlignment="1">
      <alignment horizontal="center" vertical="center"/>
    </xf>
    <xf numFmtId="0" fontId="44" fillId="5" borderId="1" xfId="6" applyFont="1" applyFill="1" applyBorder="1" applyAlignment="1">
      <alignment vertical="center"/>
    </xf>
    <xf numFmtId="0" fontId="44" fillId="3" borderId="1" xfId="6" applyFont="1" applyFill="1" applyBorder="1" applyAlignment="1">
      <alignment horizontal="left" vertical="center"/>
    </xf>
    <xf numFmtId="1" fontId="0" fillId="0" borderId="1" xfId="0" applyNumberFormat="1" applyBorder="1" applyAlignment="1">
      <alignment horizontal="center" vertical="center"/>
    </xf>
    <xf numFmtId="0" fontId="0" fillId="0" borderId="1" xfId="0" applyBorder="1" applyAlignment="1">
      <alignment horizontal="center" vertical="center"/>
    </xf>
    <xf numFmtId="0" fontId="48" fillId="3" borderId="1" xfId="6" applyFont="1" applyFill="1" applyBorder="1" applyAlignment="1">
      <alignment vertical="center"/>
    </xf>
    <xf numFmtId="0" fontId="49" fillId="0" borderId="1" xfId="0" applyFont="1" applyBorder="1"/>
    <xf numFmtId="0" fontId="21" fillId="0" borderId="1" xfId="0" applyFont="1" applyBorder="1" applyAlignment="1">
      <alignment horizontal="center"/>
    </xf>
    <xf numFmtId="10" fontId="37" fillId="0" borderId="0" xfId="7" applyNumberFormat="1" applyFont="1" applyAlignment="1">
      <alignment horizontal="center"/>
    </xf>
    <xf numFmtId="167" fontId="9" fillId="6" borderId="1" xfId="0" applyNumberFormat="1" applyFont="1" applyFill="1" applyBorder="1" applyAlignment="1">
      <alignment horizontal="center"/>
    </xf>
    <xf numFmtId="0" fontId="34" fillId="0" borderId="0" xfId="0" applyFont="1"/>
    <xf numFmtId="0" fontId="0" fillId="0" borderId="0" xfId="0" applyAlignment="1">
      <alignment horizontal="center" wrapText="1"/>
    </xf>
    <xf numFmtId="1" fontId="0" fillId="0" borderId="0" xfId="0" applyNumberFormat="1" applyAlignment="1">
      <alignment horizontal="center"/>
    </xf>
    <xf numFmtId="0" fontId="26" fillId="0" borderId="0" xfId="0" applyFont="1"/>
    <xf numFmtId="0" fontId="0" fillId="12" borderId="1" xfId="0" applyFill="1" applyBorder="1" applyAlignment="1">
      <alignment horizontal="center" wrapText="1"/>
    </xf>
    <xf numFmtId="1" fontId="0" fillId="12" borderId="1" xfId="0" applyNumberFormat="1" applyFill="1" applyBorder="1" applyAlignment="1">
      <alignment horizontal="center"/>
    </xf>
    <xf numFmtId="0" fontId="0" fillId="12" borderId="5" xfId="0" applyFill="1" applyBorder="1" applyAlignment="1">
      <alignment horizontal="center"/>
    </xf>
    <xf numFmtId="0" fontId="50" fillId="0" borderId="0" xfId="0" applyFont="1"/>
    <xf numFmtId="0" fontId="51" fillId="0" borderId="0" xfId="0" applyFont="1"/>
    <xf numFmtId="2" fontId="0" fillId="0" borderId="1" xfId="0" applyNumberFormat="1" applyBorder="1" applyAlignment="1">
      <alignment horizontal="center"/>
    </xf>
    <xf numFmtId="2" fontId="0" fillId="12" borderId="1" xfId="0" applyNumberFormat="1" applyFill="1" applyBorder="1" applyAlignment="1">
      <alignment horizontal="center"/>
    </xf>
    <xf numFmtId="0" fontId="35" fillId="0" borderId="0" xfId="0" applyFont="1"/>
    <xf numFmtId="2" fontId="43" fillId="0" borderId="1" xfId="7" applyNumberFormat="1" applyFont="1" applyBorder="1" applyAlignment="1">
      <alignment wrapText="1"/>
    </xf>
    <xf numFmtId="10" fontId="43" fillId="0" borderId="0" xfId="7" applyNumberFormat="1" applyFont="1" applyAlignment="1">
      <alignment wrapText="1"/>
    </xf>
    <xf numFmtId="10" fontId="43" fillId="0" borderId="1" xfId="7" applyNumberFormat="1" applyFont="1" applyBorder="1" applyAlignment="1">
      <alignment wrapText="1"/>
    </xf>
    <xf numFmtId="10" fontId="43" fillId="0" borderId="12" xfId="7" applyNumberFormat="1" applyFont="1" applyBorder="1"/>
    <xf numFmtId="10" fontId="0" fillId="0" borderId="0" xfId="7" applyNumberFormat="1" applyFont="1" applyBorder="1" applyAlignment="1">
      <alignment horizontal="center"/>
    </xf>
    <xf numFmtId="10" fontId="0" fillId="12" borderId="1" xfId="0" applyNumberFormat="1" applyFill="1" applyBorder="1" applyAlignment="1">
      <alignment horizontal="center"/>
    </xf>
    <xf numFmtId="0" fontId="43" fillId="14" borderId="1" xfId="0" applyFont="1" applyFill="1" applyBorder="1"/>
    <xf numFmtId="2" fontId="28" fillId="0" borderId="0" xfId="0" applyNumberFormat="1" applyFont="1" applyAlignment="1">
      <alignment wrapText="1"/>
    </xf>
    <xf numFmtId="10" fontId="28" fillId="0" borderId="0" xfId="7" applyNumberFormat="1" applyFont="1" applyAlignment="1">
      <alignment wrapText="1"/>
    </xf>
    <xf numFmtId="1" fontId="22" fillId="8" borderId="0" xfId="0" applyNumberFormat="1" applyFont="1" applyFill="1" applyAlignment="1">
      <alignment vertical="center" wrapText="1"/>
    </xf>
    <xf numFmtId="1" fontId="20" fillId="0" borderId="3" xfId="0" applyNumberFormat="1" applyFont="1" applyBorder="1"/>
    <xf numFmtId="1" fontId="18" fillId="0" borderId="0" xfId="0" applyNumberFormat="1" applyFont="1"/>
    <xf numFmtId="168" fontId="10" fillId="0" borderId="0" xfId="7" applyNumberFormat="1" applyFont="1" applyAlignment="1" applyProtection="1"/>
    <xf numFmtId="0" fontId="52" fillId="0" borderId="0" xfId="0" applyFont="1"/>
    <xf numFmtId="0" fontId="57" fillId="0" borderId="0" xfId="0" applyFont="1" applyAlignment="1">
      <alignment horizontal="center"/>
    </xf>
    <xf numFmtId="0" fontId="58" fillId="0" borderId="0" xfId="0" applyFont="1" applyAlignment="1">
      <alignment vertical="center"/>
    </xf>
    <xf numFmtId="0" fontId="58" fillId="0" borderId="1" xfId="0" applyFont="1" applyBorder="1" applyAlignment="1">
      <alignment vertical="center"/>
    </xf>
    <xf numFmtId="0" fontId="59" fillId="0" borderId="1" xfId="0" applyFont="1" applyBorder="1" applyAlignment="1">
      <alignment vertical="center"/>
    </xf>
    <xf numFmtId="0" fontId="59" fillId="0" borderId="1" xfId="0" applyFont="1" applyBorder="1" applyAlignment="1">
      <alignment horizontal="center" vertical="center" wrapText="1"/>
    </xf>
    <xf numFmtId="0" fontId="18" fillId="0" borderId="0" xfId="0" applyFont="1" applyAlignment="1">
      <alignment vertical="center" wrapText="1"/>
    </xf>
    <xf numFmtId="0" fontId="44" fillId="3" borderId="6" xfId="6" applyFont="1" applyFill="1" applyBorder="1" applyAlignment="1">
      <alignment horizontal="center" vertical="center"/>
    </xf>
    <xf numFmtId="0" fontId="44" fillId="5" borderId="6" xfId="6" applyFont="1" applyFill="1" applyBorder="1" applyAlignment="1">
      <alignment horizontal="center" vertical="center"/>
    </xf>
    <xf numFmtId="0" fontId="44" fillId="0" borderId="6" xfId="6" applyFont="1" applyBorder="1" applyAlignment="1">
      <alignment horizontal="center" vertical="center"/>
    </xf>
    <xf numFmtId="169" fontId="0" fillId="0" borderId="0" xfId="0" applyNumberFormat="1"/>
    <xf numFmtId="0" fontId="4" fillId="0" borderId="1" xfId="0" applyFont="1" applyBorder="1"/>
    <xf numFmtId="10" fontId="46" fillId="0" borderId="0" xfId="7" applyNumberFormat="1" applyFont="1" applyAlignment="1">
      <alignment horizontal="center"/>
    </xf>
    <xf numFmtId="0" fontId="0" fillId="0" borderId="24" xfId="0" applyBorder="1"/>
    <xf numFmtId="10" fontId="3" fillId="14" borderId="1" xfId="7" applyNumberFormat="1" applyFont="1" applyFill="1" applyBorder="1" applyAlignment="1">
      <alignment horizontal="center"/>
    </xf>
    <xf numFmtId="0" fontId="18" fillId="0" borderId="0" xfId="0" applyFont="1" applyAlignment="1">
      <alignment horizontal="center"/>
    </xf>
    <xf numFmtId="0" fontId="6" fillId="0" borderId="4" xfId="0" applyFont="1" applyBorder="1"/>
    <xf numFmtId="10" fontId="0" fillId="0" borderId="1" xfId="0" applyNumberFormat="1" applyBorder="1"/>
    <xf numFmtId="0" fontId="2" fillId="0" borderId="1" xfId="0" applyFont="1" applyBorder="1"/>
    <xf numFmtId="0" fontId="2" fillId="14" borderId="1" xfId="0" applyFont="1" applyFill="1" applyBorder="1"/>
    <xf numFmtId="0" fontId="46" fillId="0" borderId="0" xfId="0" applyFont="1" applyAlignment="1">
      <alignment horizontal="left"/>
    </xf>
    <xf numFmtId="10" fontId="46" fillId="0" borderId="0" xfId="0" applyNumberFormat="1" applyFont="1"/>
    <xf numFmtId="10" fontId="62" fillId="0" borderId="1" xfId="7" applyNumberFormat="1" applyFont="1" applyBorder="1" applyAlignment="1">
      <alignment horizontal="center"/>
    </xf>
    <xf numFmtId="0" fontId="35" fillId="0" borderId="24" xfId="0" applyFont="1" applyBorder="1"/>
    <xf numFmtId="0" fontId="21" fillId="0" borderId="0" xfId="0" applyFont="1" applyAlignment="1">
      <alignment horizontal="center"/>
    </xf>
    <xf numFmtId="0" fontId="44" fillId="5" borderId="6" xfId="6" applyFont="1" applyFill="1" applyBorder="1" applyAlignment="1">
      <alignment vertical="center"/>
    </xf>
    <xf numFmtId="0" fontId="44" fillId="3" borderId="6" xfId="6" applyFont="1" applyFill="1" applyBorder="1" applyAlignment="1">
      <alignment horizontal="left" vertical="center"/>
    </xf>
    <xf numFmtId="0" fontId="44" fillId="0" borderId="6" xfId="6" applyFont="1" applyBorder="1" applyAlignment="1">
      <alignment vertical="center"/>
    </xf>
    <xf numFmtId="0" fontId="44" fillId="0" borderId="6" xfId="6" applyFont="1" applyBorder="1" applyAlignment="1">
      <alignment horizontal="left" vertical="center"/>
    </xf>
    <xf numFmtId="0" fontId="64" fillId="0" borderId="0" xfId="0" applyFont="1"/>
    <xf numFmtId="0" fontId="65" fillId="0" borderId="0" xfId="0" applyFont="1"/>
    <xf numFmtId="0" fontId="66" fillId="0" borderId="0" xfId="0" applyFont="1"/>
    <xf numFmtId="0" fontId="0" fillId="0" borderId="2" xfId="0" applyBorder="1" applyAlignment="1">
      <alignment horizontal="center"/>
    </xf>
    <xf numFmtId="0" fontId="44" fillId="3" borderId="2" xfId="6" applyFont="1" applyFill="1" applyBorder="1" applyAlignment="1">
      <alignment horizontal="center" vertical="center"/>
    </xf>
    <xf numFmtId="0" fontId="0" fillId="0" borderId="25" xfId="0" applyBorder="1" applyAlignment="1">
      <alignment horizontal="center"/>
    </xf>
    <xf numFmtId="0" fontId="48" fillId="3" borderId="1" xfId="6" applyFont="1" applyFill="1" applyBorder="1" applyAlignment="1">
      <alignment horizontal="center" vertical="center"/>
    </xf>
    <xf numFmtId="0" fontId="40" fillId="0" borderId="1" xfId="0" applyFont="1" applyBorder="1" applyAlignment="1">
      <alignment horizontal="center"/>
    </xf>
    <xf numFmtId="0" fontId="1" fillId="0" borderId="1" xfId="0" applyFont="1" applyBorder="1"/>
    <xf numFmtId="3" fontId="0" fillId="0" borderId="0" xfId="0" applyNumberFormat="1"/>
    <xf numFmtId="0" fontId="36" fillId="8" borderId="2" xfId="0" applyFont="1" applyFill="1" applyBorder="1" applyAlignment="1">
      <alignment horizontal="center" vertical="center" wrapText="1"/>
    </xf>
    <xf numFmtId="0" fontId="32" fillId="0" borderId="2" xfId="0" applyFont="1" applyBorder="1" applyAlignment="1">
      <alignment horizontal="center"/>
    </xf>
    <xf numFmtId="0" fontId="0" fillId="0" borderId="25" xfId="0" applyBorder="1"/>
    <xf numFmtId="0" fontId="21" fillId="0" borderId="25" xfId="0" applyFont="1" applyBorder="1" applyAlignment="1">
      <alignment horizontal="center"/>
    </xf>
    <xf numFmtId="0" fontId="63" fillId="0" borderId="25" xfId="0" applyFont="1" applyBorder="1" applyAlignment="1">
      <alignment horizontal="center"/>
    </xf>
    <xf numFmtId="0" fontId="67" fillId="0" borderId="3" xfId="0" applyFont="1" applyBorder="1"/>
    <xf numFmtId="49" fontId="67" fillId="0" borderId="3" xfId="0" applyNumberFormat="1" applyFont="1" applyBorder="1"/>
    <xf numFmtId="169" fontId="22" fillId="8" borderId="0" xfId="0" applyNumberFormat="1" applyFont="1" applyFill="1" applyAlignment="1">
      <alignment vertical="center" wrapText="1"/>
    </xf>
    <xf numFmtId="169" fontId="20" fillId="0" borderId="3" xfId="0" applyNumberFormat="1" applyFont="1" applyBorder="1"/>
    <xf numFmtId="169" fontId="18" fillId="0" borderId="0" xfId="0" applyNumberFormat="1" applyFont="1"/>
    <xf numFmtId="0" fontId="68" fillId="0" borderId="0" xfId="0" applyFont="1"/>
    <xf numFmtId="0" fontId="69" fillId="0" borderId="0" xfId="0" applyFont="1"/>
    <xf numFmtId="0" fontId="70" fillId="0" borderId="0" xfId="0" applyFont="1"/>
    <xf numFmtId="0" fontId="71" fillId="0" borderId="0" xfId="0" applyFont="1"/>
    <xf numFmtId="0" fontId="72" fillId="0" borderId="0" xfId="0" applyFont="1"/>
    <xf numFmtId="0" fontId="73" fillId="0" borderId="0" xfId="0" applyFont="1"/>
    <xf numFmtId="0" fontId="74" fillId="0" borderId="0" xfId="0" applyFont="1"/>
    <xf numFmtId="10" fontId="74" fillId="0" borderId="0" xfId="0" applyNumberFormat="1" applyFont="1"/>
    <xf numFmtId="0" fontId="75" fillId="0" borderId="0" xfId="0" applyFont="1"/>
    <xf numFmtId="0" fontId="76" fillId="0" borderId="0" xfId="0" applyFont="1"/>
    <xf numFmtId="15" fontId="77" fillId="0" borderId="0" xfId="0" applyNumberFormat="1" applyFont="1"/>
    <xf numFmtId="0" fontId="77" fillId="0" borderId="0" xfId="0" applyFont="1"/>
    <xf numFmtId="10" fontId="78" fillId="0" borderId="1" xfId="7" applyNumberFormat="1" applyFont="1" applyBorder="1" applyAlignment="1">
      <alignment horizontal="center"/>
    </xf>
    <xf numFmtId="0" fontId="58" fillId="12" borderId="1" xfId="0" applyFont="1" applyFill="1" applyBorder="1" applyAlignment="1">
      <alignment vertical="top" wrapText="1"/>
    </xf>
    <xf numFmtId="0" fontId="18" fillId="12" borderId="1" xfId="0" applyFont="1" applyFill="1" applyBorder="1" applyAlignment="1">
      <alignment vertical="top" wrapText="1"/>
    </xf>
    <xf numFmtId="0" fontId="10" fillId="0" borderId="0" xfId="3" applyAlignment="1" applyProtection="1">
      <alignment horizontal="left" wrapText="1"/>
    </xf>
    <xf numFmtId="0" fontId="41" fillId="0" borderId="0" xfId="3" applyFont="1" applyAlignment="1" applyProtection="1">
      <alignment horizontal="left" wrapText="1"/>
    </xf>
    <xf numFmtId="0" fontId="8" fillId="0" borderId="0" xfId="0" applyFont="1" applyAlignment="1">
      <alignment horizontal="center"/>
    </xf>
    <xf numFmtId="0" fontId="56" fillId="12" borderId="14" xfId="0" applyFont="1" applyFill="1" applyBorder="1" applyAlignment="1">
      <alignment horizontal="left" vertical="top" wrapText="1"/>
    </xf>
    <xf numFmtId="0" fontId="18" fillId="12" borderId="15" xfId="0" applyFont="1" applyFill="1" applyBorder="1" applyAlignment="1">
      <alignment horizontal="left" vertical="top" wrapText="1"/>
    </xf>
    <xf numFmtId="0" fontId="18" fillId="12" borderId="16" xfId="0" applyFont="1" applyFill="1" applyBorder="1" applyAlignment="1">
      <alignment horizontal="left" vertical="top" wrapText="1"/>
    </xf>
    <xf numFmtId="0" fontId="18" fillId="12" borderId="17" xfId="0" applyFont="1" applyFill="1" applyBorder="1" applyAlignment="1">
      <alignment horizontal="left" vertical="top" wrapText="1"/>
    </xf>
    <xf numFmtId="0" fontId="18" fillId="12" borderId="0" xfId="0" applyFont="1" applyFill="1" applyAlignment="1">
      <alignment horizontal="left" vertical="top" wrapText="1"/>
    </xf>
    <xf numFmtId="0" fontId="18" fillId="12" borderId="18" xfId="0" applyFont="1" applyFill="1" applyBorder="1" applyAlignment="1">
      <alignment horizontal="left" vertical="top" wrapText="1"/>
    </xf>
    <xf numFmtId="0" fontId="18" fillId="12" borderId="19" xfId="0" applyFont="1" applyFill="1" applyBorder="1" applyAlignment="1">
      <alignment horizontal="left" vertical="top" wrapText="1"/>
    </xf>
    <xf numFmtId="0" fontId="18" fillId="12" borderId="20" xfId="0" applyFont="1" applyFill="1" applyBorder="1" applyAlignment="1">
      <alignment horizontal="left" vertical="top" wrapText="1"/>
    </xf>
    <xf numFmtId="0" fontId="18" fillId="12" borderId="13" xfId="0" applyFont="1" applyFill="1" applyBorder="1" applyAlignment="1">
      <alignment horizontal="left" vertical="top" wrapText="1"/>
    </xf>
    <xf numFmtId="0" fontId="5" fillId="0" borderId="0" xfId="0" applyFont="1" applyAlignment="1">
      <alignment horizontal="center"/>
    </xf>
    <xf numFmtId="0" fontId="15" fillId="13" borderId="0" xfId="6" applyFont="1" applyFill="1" applyAlignment="1">
      <alignment horizontal="center"/>
    </xf>
    <xf numFmtId="164" fontId="16" fillId="13" borderId="0" xfId="6" applyNumberFormat="1" applyFont="1" applyFill="1" applyAlignment="1">
      <alignment horizontal="left" wrapText="1"/>
    </xf>
    <xf numFmtId="0" fontId="6" fillId="0" borderId="4" xfId="0" applyFont="1" applyBorder="1" applyAlignment="1">
      <alignment horizontal="center"/>
    </xf>
    <xf numFmtId="0" fontId="79" fillId="3" borderId="0" xfId="6" applyFont="1" applyFill="1" applyAlignment="1">
      <alignment horizontal="center" wrapText="1"/>
    </xf>
    <xf numFmtId="0" fontId="79" fillId="3" borderId="26" xfId="6" applyFont="1" applyFill="1" applyBorder="1" applyAlignment="1">
      <alignment horizontal="center" wrapText="1"/>
    </xf>
    <xf numFmtId="10" fontId="8" fillId="0" borderId="1" xfId="7" applyNumberFormat="1" applyFont="1" applyBorder="1"/>
    <xf numFmtId="10" fontId="80" fillId="0" borderId="1" xfId="7" applyNumberFormat="1" applyFont="1" applyBorder="1"/>
    <xf numFmtId="0" fontId="36" fillId="8" borderId="25" xfId="0" applyFont="1" applyFill="1" applyBorder="1" applyAlignment="1">
      <alignment horizontal="left" vertical="center" wrapText="1"/>
    </xf>
    <xf numFmtId="14" fontId="36" fillId="0" borderId="25" xfId="7" applyNumberFormat="1" applyFont="1" applyBorder="1" applyAlignment="1">
      <alignment horizontal="center" vertical="center" wrapText="1"/>
    </xf>
    <xf numFmtId="0" fontId="36" fillId="0" borderId="25" xfId="0" applyFont="1" applyBorder="1" applyAlignment="1">
      <alignment horizontal="center"/>
    </xf>
    <xf numFmtId="0" fontId="32" fillId="0" borderId="25" xfId="0" applyFont="1" applyBorder="1"/>
    <xf numFmtId="10" fontId="0" fillId="0" borderId="25" xfId="7" applyNumberFormat="1" applyFont="1" applyBorder="1" applyAlignment="1">
      <alignment horizontal="center"/>
    </xf>
    <xf numFmtId="10" fontId="32" fillId="0" borderId="25" xfId="0" applyNumberFormat="1" applyFont="1" applyBorder="1" applyAlignment="1">
      <alignment horizontal="center"/>
    </xf>
    <xf numFmtId="10" fontId="46" fillId="0" borderId="25" xfId="7" applyNumberFormat="1" applyFont="1" applyBorder="1" applyAlignment="1">
      <alignment horizontal="center"/>
    </xf>
    <xf numFmtId="0" fontId="1" fillId="0" borderId="25" xfId="0" applyFont="1" applyBorder="1"/>
    <xf numFmtId="0" fontId="43" fillId="0" borderId="25" xfId="0" applyFont="1" applyBorder="1"/>
    <xf numFmtId="0" fontId="4" fillId="0" borderId="25" xfId="0" applyFont="1" applyBorder="1"/>
    <xf numFmtId="10" fontId="37" fillId="0" borderId="25" xfId="7" applyNumberFormat="1" applyFont="1" applyBorder="1" applyAlignment="1">
      <alignment horizontal="center"/>
    </xf>
    <xf numFmtId="10" fontId="0" fillId="0" borderId="25" xfId="7" applyNumberFormat="1" applyFont="1" applyBorder="1"/>
    <xf numFmtId="10" fontId="0" fillId="0" borderId="25" xfId="0" applyNumberFormat="1" applyBorder="1" applyAlignment="1">
      <alignment horizontal="center"/>
    </xf>
  </cellXfs>
  <cellStyles count="8">
    <cellStyle name="blp_column_header" xfId="1" xr:uid="{00000000-0005-0000-0000-000000000000}"/>
    <cellStyle name="Comma 2 2" xfId="2" xr:uid="{00000000-0005-0000-0000-000001000000}"/>
    <cellStyle name="Hyperlink" xfId="3" builtinId="8"/>
    <cellStyle name="Normal" xfId="0" builtinId="0"/>
    <cellStyle name="Normal 2" xfId="4" xr:uid="{00000000-0005-0000-0000-000005000000}"/>
    <cellStyle name="Normal 2 2" xfId="5" xr:uid="{00000000-0005-0000-0000-000006000000}"/>
    <cellStyle name="Normal_Sovereign Ratings Summary 11-7-06" xfId="6" xr:uid="{00000000-0005-0000-0000-000007000000}"/>
    <cellStyle name="Percent" xfId="7" builtinId="5"/>
  </cellStyles>
  <dxfs count="32">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numFmt numFmtId="14" formatCode="0.00%"/>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scheme val="minor"/>
      </font>
      <numFmt numFmtId="14"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165" formatCode="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9"/>
        <color auto="1"/>
        <name val="Geneva"/>
        <scheme val="none"/>
      </font>
      <alignment horizontal="center" vertical="bottom" textRotation="0" wrapText="0" indent="0" justifyLastLine="0" shrinkToFit="0" readingOrder="0"/>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family val="1"/>
        <scheme val="none"/>
      </font>
      <numFmt numFmtId="14" formatCode="0.00%"/>
      <fill>
        <patternFill patternType="solid">
          <fgColor indexed="64"/>
          <bgColor theme="0" tint="-0.249977111117893"/>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scheme val="none"/>
      </font>
      <alignment horizontal="center" vertical="bottom" textRotation="0" wrapText="0" indent="0" justifyLastLine="0" shrinkToFit="0" readingOrder="0"/>
    </dxf>
    <dxf>
      <border outline="0">
        <bottom style="thin">
          <color indexed="64"/>
        </bottom>
      </border>
    </dxf>
    <dxf>
      <font>
        <b/>
        <i/>
        <strike val="0"/>
        <condense val="0"/>
        <extend val="0"/>
        <outline val="0"/>
        <shadow val="0"/>
        <u val="none"/>
        <vertAlign val="baseline"/>
        <sz val="12"/>
        <color auto="1"/>
        <name val="Times"/>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Medium4">
    <tableStyle name="Table Style 1" pivot="0" count="0" xr9:uid="{B1AFBFE3-7FC1-5C4D-8DD6-A6FA14F367A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651.456843287036" createdVersion="4" refreshedVersion="8" minRefreshableVersion="3" recordCount="157" xr:uid="{00000000-000A-0000-FFFF-FFFF1E000000}">
  <cacheSource type="worksheet">
    <worksheetSource ref="A1:I158" sheet="Regional breakdown"/>
  </cacheSource>
  <cacheFields count="9">
    <cacheField name="Country" numFmtId="0">
      <sharedItems count="158">
        <s v="Abu Dhabi"/>
        <s v="Albania"/>
        <s v="Andorra (Principality of)"/>
        <s v="Angola"/>
        <s v="Argentina"/>
        <s v="Armenia"/>
        <s v="Aruba"/>
        <s v="Australia"/>
        <s v="Austria"/>
        <s v="Azerbaijan"/>
        <s v="Bahamas"/>
        <s v="Bahrain"/>
        <s v="Bangladesh"/>
        <s v="Barbados"/>
        <s v="Belarus"/>
        <s v="Belgium"/>
        <s v="Belize"/>
        <s v="Benin"/>
        <s v="Bermuda"/>
        <s v="Bolivia"/>
        <s v="Bosnia and Herzegovina"/>
        <s v="Botswana"/>
        <s v="Brazil"/>
        <s v="Bulgaria"/>
        <s v="Burkina Faso"/>
        <s v="Cambodia"/>
        <s v="Cameroon"/>
        <s v="Canada"/>
        <s v="Cape Verde"/>
        <s v="Cayman Islands"/>
        <s v="Chile"/>
        <s v="China"/>
        <s v="Colombia"/>
        <s v="Congo (Democratic Republic of)"/>
        <s v="Congo (Republic of)"/>
        <s v="Cook Islands"/>
        <s v="Costa Rica"/>
        <s v="Côte d'Ivoire"/>
        <s v="Croatia"/>
        <s v="Cuba"/>
        <s v="Curacao"/>
        <s v="Cyprus"/>
        <s v="Czech Republic"/>
        <s v="Denmark"/>
        <s v="Dominican Republic"/>
        <s v="Ecuador"/>
        <s v="Egypt"/>
        <s v="El Salvador"/>
        <s v="Estonia"/>
        <s v="Ethiopia"/>
        <s v="Fiji"/>
        <s v="Finland"/>
        <s v="France"/>
        <s v="Gabon"/>
        <s v="Georgia"/>
        <s v="Germany"/>
        <s v="Ghana"/>
        <s v="Greece"/>
        <s v="Guatemala"/>
        <s v="Guernsey (States of)"/>
        <s v="Honduras"/>
        <s v="Hong Kong"/>
        <s v="Hungary"/>
        <s v="Iceland"/>
        <s v="India"/>
        <s v="Indonesia"/>
        <s v="Iraq"/>
        <s v="Ireland"/>
        <s v="Isle of Man"/>
        <s v="Israel"/>
        <s v="Italy"/>
        <s v="Jamaica"/>
        <s v="Japan"/>
        <s v="Jersey (States of)"/>
        <s v="Jordan"/>
        <s v="Kazakhstan"/>
        <s v="Kenya"/>
        <s v="Korea"/>
        <s v="Kuwait"/>
        <s v="Kyrgyzstan"/>
        <s v="Laos"/>
        <s v="Latvia"/>
        <s v="Lebanon"/>
        <s v="Liechtenstein"/>
        <s v="Lithuania"/>
        <s v="Luxembourg"/>
        <s v="Macao"/>
        <s v="Macedonia"/>
        <s v="Malaysia"/>
        <s v="Maldives"/>
        <s v="Mali"/>
        <s v="Malta"/>
        <s v="Mauritius"/>
        <s v="Mexico"/>
        <s v="Moldova"/>
        <s v="Mongolia"/>
        <s v="Montenegro"/>
        <s v="Montserrat"/>
        <s v="Morocco"/>
        <s v="Mozambique"/>
        <s v="Namibia"/>
        <s v="Nepal"/>
        <s v="Netherlands"/>
        <s v="New Zealand"/>
        <s v="Nicaragua"/>
        <s v="Niger"/>
        <s v="Nigeria"/>
        <s v="Norway"/>
        <s v="Oman"/>
        <s v="Pakistan"/>
        <s v="Panama"/>
        <s v="Papua New Guinea"/>
        <s v="Paraguay"/>
        <s v="Peru"/>
        <s v="Philippines"/>
        <s v="Poland"/>
        <s v="Portugal"/>
        <s v="Qatar"/>
        <s v="Ras Al Khaimah (Emirate of)"/>
        <s v="Romania"/>
        <s v="Rwanda"/>
        <s v="Saudi Arabia"/>
        <s v="Senegal"/>
        <s v="Serbia"/>
        <s v="Sharjah"/>
        <s v="Singapore"/>
        <s v="Slovakia"/>
        <s v="Slovenia"/>
        <s v="Solomon Islands"/>
        <s v="South Africa"/>
        <s v="Spain"/>
        <s v="Sri Lanka"/>
        <s v="St. Maarten"/>
        <s v="St. Vincent &amp; the Grenadines"/>
        <s v="Suriname"/>
        <s v="Swaziland"/>
        <s v="Sweden"/>
        <s v="Switzerland"/>
        <s v="Taiwan"/>
        <s v="Tajikistan"/>
        <s v="Tanzania"/>
        <s v="Thailand"/>
        <s v="Togo"/>
        <s v="Trinidad and Tobago"/>
        <s v="Tunisia"/>
        <s v="Turkey"/>
        <s v="Turks and Caicos Islands"/>
        <s v="Uganda"/>
        <s v="Ukraine"/>
        <s v="United Arab Emirates"/>
        <s v="United Kingdom"/>
        <s v="United States"/>
        <s v="Uruguay"/>
        <s v="Uzbekistan"/>
        <s v="Venezuela"/>
        <s v="Vietnam"/>
        <s v="Zambia"/>
        <s v="Russia" u="1"/>
      </sharedItems>
    </cacheField>
    <cacheField name="GDP (in millions) in 2024" numFmtId="2">
      <sharedItems containsSemiMixedTypes="0" containsString="0" containsNumber="1" minValue="1157.2074074074073" maxValue="28750956.130731199"/>
    </cacheField>
    <cacheField name="Moody's rating" numFmtId="0">
      <sharedItems/>
    </cacheField>
    <cacheField name="Sovereign CDS" numFmtId="10">
      <sharedItems containsMixedTypes="1" containsNumber="1" minValue="1.6999999999999999E-3" maxValue="8.6999999999999994E-2"/>
    </cacheField>
    <cacheField name="Adj. Default Spread" numFmtId="10">
      <sharedItems containsSemiMixedTypes="0" containsString="0" containsNumber="1" minValue="0" maxValue="0.17499999999999999"/>
    </cacheField>
    <cacheField name="Equity Risk Premium" numFmtId="10">
      <sharedItems containsSemiMixedTypes="0" containsString="0" containsNumber="1" minValue="4.7699999999999999E-2" maxValue="0.31621657180253437"/>
    </cacheField>
    <cacheField name="Country Risk Premium" numFmtId="10">
      <sharedItems containsSemiMixedTypes="0" containsString="0" containsNumber="1" minValue="0" maxValue="0.26851657180253435"/>
    </cacheField>
    <cacheField name="Corporate Tax Rate" numFmtId="10">
      <sharedItems containsSemiMixedTypes="0" containsString="0" containsNumber="1" minValue="0" maxValue="0.36"/>
    </cacheField>
    <cacheField name="Region" numFmtId="0">
      <sharedItems count="9">
        <s v="Middle East"/>
        <s v="Eastern Europe &amp; Russia"/>
        <s v="Western Europe"/>
        <s v="Africa"/>
        <s v="Central and South America"/>
        <s v="Caribbean"/>
        <s v="Australia &amp; New Zealand"/>
        <s v="Asia"/>
        <s v="North Amer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7">
  <r>
    <x v="0"/>
    <n v="310000"/>
    <s v="Aa2"/>
    <n v="9.1000000000000004E-3"/>
    <n v="4.6974675459158736E-3"/>
    <n v="5.4907702180474256E-2"/>
    <n v="7.2077021804742543E-3"/>
    <n v="0.09"/>
    <x v="0"/>
  </r>
  <r>
    <x v="1"/>
    <n v="27046.429296667295"/>
    <s v="Ba3"/>
    <s v="NA"/>
    <n v="3.4224406405958516E-2"/>
    <n v="0.1002132587434553"/>
    <n v="5.2513258743455297E-2"/>
    <n v="0.15"/>
    <x v="1"/>
  </r>
  <r>
    <x v="2"/>
    <n v="4039.8424054811721"/>
    <s v="Baa1"/>
    <s v="NA"/>
    <n v="1.5210847291537115E-2"/>
    <n v="7.1039226108202347E-2"/>
    <n v="2.3339226108202347E-2"/>
    <n v="0.1"/>
    <x v="2"/>
  </r>
  <r>
    <x v="3"/>
    <n v="100998.91678107891"/>
    <s v="B3"/>
    <n v="6.6900000000000001E-2"/>
    <n v="6.1849989354559008E-2"/>
    <n v="0.14260141204291102"/>
    <n v="9.4901412042911026E-2"/>
    <n v="0.25"/>
    <x v="3"/>
  </r>
  <r>
    <x v="4"/>
    <n v="638365.45534004038"/>
    <s v="Caa1"/>
    <s v="NA"/>
    <n v="7.1356768911769716E-2"/>
    <n v="0.15718842836053751"/>
    <n v="0.10948842836053752"/>
    <n v="0.35"/>
    <x v="4"/>
  </r>
  <r>
    <x v="5"/>
    <n v="25955.275380032082"/>
    <s v="Ba3"/>
    <s v="NA"/>
    <n v="3.4224406405958516E-2"/>
    <n v="0.1002132587434553"/>
    <n v="5.2513258743455297E-2"/>
    <n v="0.18"/>
    <x v="1"/>
  </r>
  <r>
    <x v="6"/>
    <n v="4265.6506730023575"/>
    <s v="Baa3"/>
    <s v="NA"/>
    <n v="2.091491502586354E-2"/>
    <n v="7.979143589877824E-2"/>
    <n v="3.2091435898778241E-2"/>
    <n v="0.22"/>
    <x v="5"/>
  </r>
  <r>
    <x v="7"/>
    <n v="1757022.4516528314"/>
    <s v="Aaa"/>
    <n v="2.5000000000000001E-3"/>
    <n v="0"/>
    <n v="4.7699999999999999E-2"/>
    <n v="0"/>
    <n v="0.3"/>
    <x v="6"/>
  </r>
  <r>
    <x v="8"/>
    <n v="534790.7204668218"/>
    <s v="Aa1"/>
    <n v="3.0000000000000001E-3"/>
    <n v="2.6131717269259457E-3"/>
    <n v="5.1709599506545502E-2"/>
    <n v="4.0095995065455052E-3"/>
    <n v="0.23"/>
    <x v="2"/>
  </r>
  <r>
    <x v="9"/>
    <n v="74315.882352941175"/>
    <s v="Baa3"/>
    <s v="NA"/>
    <n v="2.091491502586354E-2"/>
    <n v="7.979143589877824E-2"/>
    <n v="3.2091435898778241E-2"/>
    <n v="0.2"/>
    <x v="1"/>
  </r>
  <r>
    <x v="10"/>
    <n v="15832.8"/>
    <s v="B1"/>
    <s v="NA"/>
    <n v="4.2836430240137613E-2"/>
    <n v="0.1134273794076581"/>
    <n v="6.572737940765809E-2"/>
    <n v="0"/>
    <x v="5"/>
  </r>
  <r>
    <x v="11"/>
    <n v="47109.734308510633"/>
    <s v="B2"/>
    <n v="3.5200000000000002E-2"/>
    <n v="5.2343209797348314E-2"/>
    <n v="0.12801439572528456"/>
    <n v="8.0314395725284565E-2"/>
    <n v="0"/>
    <x v="0"/>
  </r>
  <r>
    <x v="12"/>
    <n v="450119.43206885224"/>
    <s v="B2"/>
    <s v="NA"/>
    <n v="5.2343209797348314E-2"/>
    <n v="0.12801439572528456"/>
    <n v="8.0314395725284565E-2"/>
    <n v="0.27500000000000002"/>
    <x v="7"/>
  </r>
  <r>
    <x v="13"/>
    <n v="7498.05"/>
    <s v="B2"/>
    <s v="NA"/>
    <n v="5.2343209797348314E-2"/>
    <n v="0.12801439572528456"/>
    <n v="8.0314395725284565E-2"/>
    <n v="0.09"/>
    <x v="5"/>
  </r>
  <r>
    <x v="14"/>
    <n v="75961.865471912926"/>
    <s v="C"/>
    <s v="NA"/>
    <n v="0.17499999999999999"/>
    <n v="0.31621657180253437"/>
    <n v="0.26851657180253435"/>
    <n v="0.25"/>
    <x v="1"/>
  </r>
  <r>
    <x v="15"/>
    <n v="671370.08163640613"/>
    <s v="Aa3"/>
    <n v="4.1999999999999997E-3"/>
    <n v="5.7040677343264193E-3"/>
    <n v="5.6452209790575886E-2"/>
    <n v="8.7522097905758829E-3"/>
    <n v="0.25"/>
    <x v="2"/>
  </r>
  <r>
    <x v="16"/>
    <n v="3203.6318000000001"/>
    <s v="Caa1"/>
    <s v="NA"/>
    <n v="7.1356768911769716E-2"/>
    <n v="0.15718842836053751"/>
    <n v="0.10948842836053752"/>
    <n v="0"/>
    <x v="4"/>
  </r>
  <r>
    <x v="17"/>
    <n v="21482.643706424849"/>
    <s v="B1"/>
    <s v="NA"/>
    <n v="4.2836430240137613E-2"/>
    <n v="0.1134273794076581"/>
    <n v="6.572737940765809E-2"/>
    <n v="0.3"/>
    <x v="3"/>
  </r>
  <r>
    <x v="18"/>
    <n v="9233.6"/>
    <s v="A2"/>
    <s v="NA"/>
    <n v="8.0528015072843552E-3"/>
    <n v="6.0056060880813007E-2"/>
    <n v="1.2356060880813008E-2"/>
    <n v="0"/>
    <x v="5"/>
  </r>
  <r>
    <x v="19"/>
    <n v="54881.327452966711"/>
    <s v="Caa3"/>
    <s v="NA"/>
    <n v="9.5179640037485941E-2"/>
    <n v="0.19374177513294266"/>
    <n v="0.14604177513294267"/>
    <n v="0.25"/>
    <x v="4"/>
  </r>
  <r>
    <x v="20"/>
    <n v="29613.57202289933"/>
    <s v="B3"/>
    <s v="NA"/>
    <n v="6.1849989354559008E-2"/>
    <n v="0.14260141204291102"/>
    <n v="9.4901412042911026E-2"/>
    <n v="0.1"/>
    <x v="1"/>
  </r>
  <r>
    <x v="21"/>
    <n v="19402.06351290664"/>
    <s v="Baa1"/>
    <s v="NA"/>
    <n v="1.5210847291537115E-2"/>
    <n v="7.1039226108202347E-2"/>
    <n v="2.3339226108202347E-2"/>
    <n v="0.22"/>
    <x v="3"/>
  </r>
  <r>
    <x v="22"/>
    <n v="2185821.6489438605"/>
    <s v="Ba1"/>
    <n v="2.3900000000000001E-2"/>
    <n v="2.3822871125716225E-2"/>
    <n v="8.425334677240516E-2"/>
    <n v="3.6553346772405161E-2"/>
    <n v="0.34"/>
    <x v="4"/>
  </r>
  <r>
    <x v="23"/>
    <n v="113343.3557799852"/>
    <s v="Baa1"/>
    <n v="7.7999999999999996E-3"/>
    <n v="1.5210847291537115E-2"/>
    <n v="7.1039226108202347E-2"/>
    <n v="2.3339226108202347E-2"/>
    <n v="0.1"/>
    <x v="1"/>
  </r>
  <r>
    <x v="24"/>
    <n v="23124.729853021799"/>
    <s v="Caa1"/>
    <s v="NA"/>
    <n v="7.1356768911769716E-2"/>
    <n v="0.15718842836053751"/>
    <n v="0.10948842836053752"/>
    <n v="0.27500000000000002"/>
    <x v="3"/>
  </r>
  <r>
    <x v="25"/>
    <n v="46352.64703724056"/>
    <s v="B2"/>
    <s v="NA"/>
    <n v="5.2343209797348314E-2"/>
    <n v="0.12801439572528456"/>
    <n v="8.0314395725284565E-2"/>
    <n v="0.2"/>
    <x v="7"/>
  </r>
  <r>
    <x v="26"/>
    <n v="53296.69432020565"/>
    <s v="Caa1"/>
    <n v="7.3400000000000007E-2"/>
    <n v="7.1356768911769716E-2"/>
    <n v="0.15718842836053751"/>
    <n v="0.10948842836053752"/>
    <n v="0.33"/>
    <x v="3"/>
  </r>
  <r>
    <x v="27"/>
    <n v="2243636.8266337616"/>
    <s v="Aaa"/>
    <n v="3.0000000000000001E-3"/>
    <n v="0"/>
    <n v="4.7699999999999999E-2"/>
    <n v="0"/>
    <n v="0.26140000000000002"/>
    <x v="8"/>
  </r>
  <r>
    <x v="28"/>
    <n v="2725.4141507273494"/>
    <s v="B2"/>
    <s v="NA"/>
    <n v="5.2343209797348314E-2"/>
    <n v="0.12801439572528456"/>
    <n v="8.0314395725284565E-2"/>
    <n v="0.26860000000000001"/>
    <x v="3"/>
  </r>
  <r>
    <x v="29"/>
    <n v="7241.2442694597212"/>
    <s v="Aa3"/>
    <s v="NA"/>
    <n v="5.7040677343264193E-3"/>
    <n v="5.6452209790575886E-2"/>
    <n v="8.7522097905758829E-3"/>
    <n v="0"/>
    <x v="5"/>
  </r>
  <r>
    <x v="30"/>
    <n v="330267.13737159228"/>
    <s v="A2"/>
    <n v="1.06E-2"/>
    <n v="8.0528015072843552E-3"/>
    <n v="6.0056060880813007E-2"/>
    <n v="1.2356060880813008E-2"/>
    <n v="0.27"/>
    <x v="4"/>
  </r>
  <r>
    <x v="31"/>
    <n v="18743803.170827165"/>
    <s v="A1"/>
    <n v="7.7000000000000002E-3"/>
    <n v="6.710667922736965E-3"/>
    <n v="5.7996717400677508E-2"/>
    <n v="1.0296717400677511E-2"/>
    <n v="0.25"/>
    <x v="7"/>
  </r>
  <r>
    <x v="32"/>
    <n v="418818.15487927111"/>
    <s v="Baa3"/>
    <n v="3.4299999999999997E-2"/>
    <n v="2.091491502586354E-2"/>
    <n v="7.979143589877824E-2"/>
    <n v="3.2091435898778241E-2"/>
    <n v="0.35"/>
    <x v="4"/>
  </r>
  <r>
    <x v="33"/>
    <n v="70962.185790709351"/>
    <s v="B3"/>
    <s v="NA"/>
    <n v="6.1849989354559008E-2"/>
    <n v="0.14260141204291102"/>
    <n v="9.4901412042911026E-2"/>
    <n v="0.3"/>
    <x v="3"/>
  </r>
  <r>
    <x v="34"/>
    <n v="15719.986076646381"/>
    <s v="Caa2"/>
    <s v="NA"/>
    <n v="8.5672860480275226E-2"/>
    <n v="0.17915475881531617"/>
    <n v="0.13145475881531618"/>
    <n v="0.26860000000000001"/>
    <x v="3"/>
  </r>
  <r>
    <x v="35"/>
    <n v="1414"/>
    <s v="B1"/>
    <s v="NA"/>
    <n v="4.2836430240137613E-2"/>
    <n v="0.1134273794076581"/>
    <n v="6.572737940765809E-2"/>
    <n v="0.2"/>
    <x v="6"/>
  </r>
  <r>
    <x v="36"/>
    <n v="95350.423176596218"/>
    <s v="Ba2"/>
    <n v="2.24E-2"/>
    <n v="2.863218313701105E-2"/>
    <n v="9.1632660909557379E-2"/>
    <n v="4.3932660909557379E-2"/>
    <n v="0.3"/>
    <x v="4"/>
  </r>
  <r>
    <x v="37"/>
    <n v="87113.179149284013"/>
    <s v="Ba2"/>
    <s v="NA"/>
    <n v="2.863218313701105E-2"/>
    <n v="9.1632660909557379E-2"/>
    <n v="4.3932660909557379E-2"/>
    <n v="0.25"/>
    <x v="3"/>
  </r>
  <r>
    <x v="38"/>
    <n v="92983.810328908847"/>
    <s v="A3"/>
    <n v="9.4999999999999998E-3"/>
    <n v="1.1408135468652839E-2"/>
    <n v="6.5204419581151765E-2"/>
    <n v="1.7504419581151766E-2"/>
    <n v="0.18"/>
    <x v="1"/>
  </r>
  <r>
    <x v="39"/>
    <n v="107352"/>
    <s v="Ca"/>
    <s v="NA"/>
    <n v="0.11419319915190733"/>
    <n v="0.22291580776819558"/>
    <n v="0.17521580776819559"/>
    <n v="0.35"/>
    <x v="5"/>
  </r>
  <r>
    <x v="40"/>
    <n v="3561.1781962071341"/>
    <s v="Baa3"/>
    <s v="NA"/>
    <n v="2.091491502586354E-2"/>
    <n v="7.979143589877824E-2"/>
    <n v="3.2091435898778241E-2"/>
    <n v="0.22"/>
    <x v="5"/>
  </r>
  <r>
    <x v="41"/>
    <n v="37634.533331890161"/>
    <s v="A3"/>
    <n v="6.7000000000000002E-3"/>
    <n v="1.1408135468652839E-2"/>
    <n v="6.5204419581151765E-2"/>
    <n v="1.7504419581151766E-2"/>
    <n v="0.125"/>
    <x v="2"/>
  </r>
  <r>
    <x v="42"/>
    <n v="347034.06292847905"/>
    <s v="Aa3"/>
    <n v="5.1000000000000004E-3"/>
    <n v="5.7040677343264193E-3"/>
    <n v="5.6452209790575886E-2"/>
    <n v="8.7522097905758829E-3"/>
    <n v="0.21"/>
    <x v="1"/>
  </r>
  <r>
    <x v="43"/>
    <n v="424524.72203704697"/>
    <s v="Aaa"/>
    <n v="2E-3"/>
    <n v="0"/>
    <n v="4.7699999999999999E-2"/>
    <n v="0"/>
    <n v="0.22"/>
    <x v="2"/>
  </r>
  <r>
    <x v="44"/>
    <n v="124282.24563856845"/>
    <s v="Ba2"/>
    <s v="NA"/>
    <n v="2.863218313701105E-2"/>
    <n v="9.1632660909557379E-2"/>
    <n v="4.3932660909557379E-2"/>
    <n v="0.27"/>
    <x v="5"/>
  </r>
  <r>
    <x v="45"/>
    <n v="124676.0747"/>
    <s v="Caa3"/>
    <n v="5.8500000000000003E-2"/>
    <n v="9.5179640037485941E-2"/>
    <n v="0.19374177513294266"/>
    <n v="0.14604177513294267"/>
    <n v="0.25"/>
    <x v="4"/>
  </r>
  <r>
    <x v="46"/>
    <n v="389059.91100356571"/>
    <s v="Caa1"/>
    <n v="5.1499999999999997E-2"/>
    <n v="7.1356768911769716E-2"/>
    <n v="0.15718842836053751"/>
    <n v="0.10948842836053752"/>
    <n v="0.22500000000000001"/>
    <x v="3"/>
  </r>
  <r>
    <x v="47"/>
    <n v="35364.959999999999"/>
    <s v="B3"/>
    <n v="4.9700000000000001E-2"/>
    <n v="6.1849989354559008E-2"/>
    <n v="0.14260141204291102"/>
    <n v="9.4901412042911026E-2"/>
    <n v="0.3"/>
    <x v="4"/>
  </r>
  <r>
    <x v="48"/>
    <n v="43130.419829349994"/>
    <s v="A1"/>
    <n v="9.5999999999999992E-3"/>
    <n v="6.710667922736965E-3"/>
    <n v="5.7996717400677508E-2"/>
    <n v="1.0296717400677511E-2"/>
    <n v="0.2"/>
    <x v="1"/>
  </r>
  <r>
    <x v="49"/>
    <n v="149740.29795298603"/>
    <s v="Caa2"/>
    <s v="NA"/>
    <n v="8.5672860480275226E-2"/>
    <n v="0.17915475881531617"/>
    <n v="0.13145475881531618"/>
    <n v="0.3"/>
    <x v="3"/>
  </r>
  <r>
    <x v="50"/>
    <n v="5968.1259092712598"/>
    <s v="B1"/>
    <s v="NA"/>
    <n v="4.2836430240137613E-2"/>
    <n v="0.1134273794076581"/>
    <n v="6.572737940765809E-2"/>
    <n v="0.25"/>
    <x v="7"/>
  </r>
  <r>
    <x v="51"/>
    <n v="298696.96129765618"/>
    <s v="Aa1"/>
    <n v="2.8999999999999998E-3"/>
    <n v="2.6131717269259457E-3"/>
    <n v="5.1709599506545502E-2"/>
    <n v="4.0095995065455052E-3"/>
    <n v="0.2"/>
    <x v="2"/>
  </r>
  <r>
    <x v="52"/>
    <n v="3160442.6224650778"/>
    <s v="Aa3"/>
    <n v="6.7000000000000002E-3"/>
    <n v="5.7040677343264193E-3"/>
    <n v="5.6452209790575886E-2"/>
    <n v="8.7522097905758829E-3"/>
    <n v="0.25829999999999997"/>
    <x v="2"/>
  </r>
  <r>
    <x v="53"/>
    <n v="20895.684425675219"/>
    <s v="Caa2"/>
    <s v="NA"/>
    <n v="8.5672860480275226E-2"/>
    <n v="0.17915475881531617"/>
    <n v="0.13145475881531618"/>
    <n v="0.3"/>
    <x v="3"/>
  </r>
  <r>
    <x v="54"/>
    <n v="34189.42354499553"/>
    <s v="Ba2"/>
    <s v="NA"/>
    <n v="2.863218313701105E-2"/>
    <n v="9.1632660909557379E-2"/>
    <n v="4.3932660909557379E-2"/>
    <n v="0.15"/>
    <x v="1"/>
  </r>
  <r>
    <x v="55"/>
    <n v="4685592.5778046865"/>
    <s v="Aaa"/>
    <n v="2.0999999999999999E-3"/>
    <n v="0"/>
    <n v="4.7699999999999999E-2"/>
    <n v="0"/>
    <n v="0.29930000000000001"/>
    <x v="2"/>
  </r>
  <r>
    <x v="56"/>
    <n v="82308.110386464061"/>
    <s v="Caa1"/>
    <s v="NA"/>
    <n v="7.1356768911769716E-2"/>
    <n v="0.15718842836053751"/>
    <n v="0.10948842836053752"/>
    <n v="0.25"/>
    <x v="3"/>
  </r>
  <r>
    <x v="57"/>
    <n v="256238.37177811793"/>
    <s v="Baa3"/>
    <n v="7.9000000000000008E-3"/>
    <n v="2.091491502586354E-2"/>
    <n v="7.979143589877824E-2"/>
    <n v="3.2091435898778241E-2"/>
    <n v="0.22"/>
    <x v="2"/>
  </r>
  <r>
    <x v="58"/>
    <n v="113199.58115820274"/>
    <s v="Ba1"/>
    <s v="NA"/>
    <n v="2.3822871125716225E-2"/>
    <n v="8.425334677240516E-2"/>
    <n v="3.6553346772405161E-2"/>
    <n v="0.25"/>
    <x v="4"/>
  </r>
  <r>
    <x v="59"/>
    <n v="3446"/>
    <s v="A1"/>
    <s v="NA"/>
    <n v="6.710667922736965E-3"/>
    <n v="5.7996717400677508E-2"/>
    <n v="1.0296717400677511E-2"/>
    <n v="0"/>
    <x v="2"/>
  </r>
  <r>
    <x v="60"/>
    <n v="37093.565854043678"/>
    <s v="B1"/>
    <s v="NA"/>
    <n v="4.2836430240137613E-2"/>
    <n v="0.1134273794076581"/>
    <n v="6.572737940765809E-2"/>
    <n v="0.3"/>
    <x v="4"/>
  </r>
  <r>
    <x v="61"/>
    <n v="406863.39648734155"/>
    <s v="Aa3"/>
    <n v="4.4999999999999997E-3"/>
    <n v="5.7040677343264193E-3"/>
    <n v="5.6452209790575886E-2"/>
    <n v="8.7522097905758829E-3"/>
    <n v="0.16500000000000001"/>
    <x v="7"/>
  </r>
  <r>
    <x v="62"/>
    <n v="222722.73892564097"/>
    <s v="Baa2"/>
    <n v="1.6899999999999998E-2"/>
    <n v="1.8118803391389805E-2"/>
    <n v="7.5501136981829281E-2"/>
    <n v="2.7801136981829278E-2"/>
    <n v="0.09"/>
    <x v="1"/>
  </r>
  <r>
    <x v="63"/>
    <n v="33255.181468938186"/>
    <s v="A1"/>
    <n v="4.1999999999999997E-3"/>
    <n v="6.710667922736965E-3"/>
    <n v="5.7996717400677508E-2"/>
    <n v="1.0296717400677511E-2"/>
    <n v="0.21"/>
    <x v="2"/>
  </r>
  <r>
    <x v="64"/>
    <n v="3909891.5338580837"/>
    <s v="Baa3"/>
    <n v="1.0200000000000001E-2"/>
    <n v="2.091491502586354E-2"/>
    <n v="7.979143589877824E-2"/>
    <n v="3.2091435898778241E-2"/>
    <n v="0.3"/>
    <x v="7"/>
  </r>
  <r>
    <x v="65"/>
    <n v="1396300.0981909733"/>
    <s v="Baa2"/>
    <n v="1.5900000000000001E-2"/>
    <n v="1.8118803391389805E-2"/>
    <n v="7.5501136981829281E-2"/>
    <n v="2.7801136981829278E-2"/>
    <n v="0.22"/>
    <x v="7"/>
  </r>
  <r>
    <x v="66"/>
    <n v="279641.25761538465"/>
    <s v="Caa1"/>
    <n v="5.8799999999999998E-2"/>
    <n v="7.1356768911769716E-2"/>
    <n v="0.15718842836053751"/>
    <n v="0.10948842836053752"/>
    <n v="0.15"/>
    <x v="0"/>
  </r>
  <r>
    <x v="67"/>
    <n v="609157.45974720537"/>
    <s v="Aa3"/>
    <n v="3.0999999999999999E-3"/>
    <n v="5.7040677343264193E-3"/>
    <n v="5.6452209790575886E-2"/>
    <n v="8.7522097905758829E-3"/>
    <n v="0.125"/>
    <x v="2"/>
  </r>
  <r>
    <x v="68"/>
    <n v="7431.2574109271272"/>
    <s v="Aa3"/>
    <s v="NA"/>
    <n v="5.7040677343264193E-3"/>
    <n v="5.6452209790575886E-2"/>
    <n v="8.7522097905758829E-3"/>
    <n v="0"/>
    <x v="2"/>
  </r>
  <r>
    <x v="69"/>
    <n v="540379.92126168101"/>
    <s v="Baa1"/>
    <n v="1.2500000000000001E-2"/>
    <n v="1.5210847291537115E-2"/>
    <n v="7.1039226108202347E-2"/>
    <n v="2.3339226108202347E-2"/>
    <n v="0.23"/>
    <x v="0"/>
  </r>
  <r>
    <x v="70"/>
    <n v="2380825.0772435931"/>
    <s v="Baa2"/>
    <n v="7.1999999999999998E-3"/>
    <n v="1.8118803391389805E-2"/>
    <n v="7.5501136981829281E-2"/>
    <n v="2.7801136981829278E-2"/>
    <n v="0.27810000000000001"/>
    <x v="2"/>
  </r>
  <r>
    <x v="71"/>
    <n v="22014.39708976886"/>
    <s v="Ba3"/>
    <s v="NA"/>
    <n v="3.4224406405958516E-2"/>
    <n v="0.1002132587434553"/>
    <n v="5.2513258743455297E-2"/>
    <n v="0.25"/>
    <x v="5"/>
  </r>
  <r>
    <x v="72"/>
    <n v="4027597.5235505826"/>
    <s v="A1"/>
    <n v="5.1000000000000004E-3"/>
    <n v="6.710667922736965E-3"/>
    <n v="5.7996717400677508E-2"/>
    <n v="1.0296717400677511E-2"/>
    <n v="0.2974"/>
    <x v="7"/>
  </r>
  <r>
    <x v="73"/>
    <n v="4890"/>
    <s v="Aa3"/>
    <s v="NA"/>
    <n v="5.7040677343264193E-3"/>
    <n v="5.6452209790575886E-2"/>
    <n v="8.7522097905758829E-3"/>
    <n v="0"/>
    <x v="2"/>
  </r>
  <r>
    <x v="74"/>
    <n v="53352.289577464791"/>
    <s v="Ba3"/>
    <s v="NA"/>
    <n v="3.4224406405958516E-2"/>
    <n v="0.1002132587434553"/>
    <n v="5.2513258743455297E-2"/>
    <n v="0.2"/>
    <x v="0"/>
  </r>
  <r>
    <x v="75"/>
    <n v="291480.27464882593"/>
    <s v="Baa1"/>
    <n v="1.6299999999999999E-2"/>
    <n v="1.5210847291537115E-2"/>
    <n v="7.1039226108202347E-2"/>
    <n v="2.3339226108202347E-2"/>
    <n v="0.2"/>
    <x v="1"/>
  </r>
  <r>
    <x v="76"/>
    <n v="120339.55790593175"/>
    <s v="B3"/>
    <n v="5.9799999999999999E-2"/>
    <n v="6.1849989354559008E-2"/>
    <n v="0.14260141204291102"/>
    <n v="9.4901412042911026E-2"/>
    <n v="0.3"/>
    <x v="3"/>
  </r>
  <r>
    <x v="77"/>
    <n v="1875388.2094068029"/>
    <s v="Aa2"/>
    <n v="5.0000000000000001E-3"/>
    <n v="4.6974675459158736E-3"/>
    <n v="5.4907702180474256E-2"/>
    <n v="7.2077021804742543E-3"/>
    <n v="0.26400000000000001"/>
    <x v="7"/>
  </r>
  <r>
    <x v="78"/>
    <n v="160227.2730533338"/>
    <s v="A1"/>
    <n v="1.03E-2"/>
    <n v="6.710667922736965E-3"/>
    <n v="5.7996717400677508E-2"/>
    <n v="1.0296717400677511E-2"/>
    <n v="0.15"/>
    <x v="0"/>
  </r>
  <r>
    <x v="79"/>
    <n v="17478.259659262498"/>
    <s v="B3"/>
    <s v="NA"/>
    <n v="6.1849989354559008E-2"/>
    <n v="0.14260141204291102"/>
    <n v="9.4901412042911026E-2"/>
    <n v="0.1"/>
    <x v="1"/>
  </r>
  <r>
    <x v="80"/>
    <n v="16502.933121337941"/>
    <s v="Caa2"/>
    <s v="NA"/>
    <n v="8.5672860480275226E-2"/>
    <n v="0.17915475881531617"/>
    <n v="0.13145475881531618"/>
    <n v="0.2"/>
    <x v="7"/>
  </r>
  <r>
    <x v="81"/>
    <n v="43684.254432360933"/>
    <s v="A3"/>
    <n v="8.3000000000000001E-3"/>
    <n v="1.1408135468652839E-2"/>
    <n v="6.5204419581151765E-2"/>
    <n v="1.7504419581151766E-2"/>
    <n v="0.2"/>
    <x v="1"/>
  </r>
  <r>
    <x v="82"/>
    <n v="20078.620357"/>
    <s v="C"/>
    <s v="NA"/>
    <n v="0.17499999999999999"/>
    <n v="0.31621657180253437"/>
    <n v="0.26851657180253435"/>
    <n v="0.17"/>
    <x v="0"/>
  </r>
  <r>
    <x v="83"/>
    <n v="8239.3794030000008"/>
    <s v="Aaa"/>
    <s v="NA"/>
    <n v="0"/>
    <n v="4.7699999999999999E-2"/>
    <n v="0"/>
    <n v="0.125"/>
    <x v="2"/>
  </r>
  <r>
    <x v="84"/>
    <n v="84869.215513364819"/>
    <s v="A2"/>
    <n v="8.2000000000000007E-3"/>
    <n v="8.0528015072843552E-3"/>
    <n v="6.0056060880813007E-2"/>
    <n v="1.2356060880813008E-2"/>
    <n v="0.15"/>
    <x v="1"/>
  </r>
  <r>
    <x v="85"/>
    <n v="93279.851863406235"/>
    <s v="Aaa"/>
    <s v="NA"/>
    <n v="0"/>
    <n v="4.7699999999999999E-2"/>
    <n v="0"/>
    <n v="0.24940000000000001"/>
    <x v="2"/>
  </r>
  <r>
    <x v="86"/>
    <n v="49467.258923324385"/>
    <s v="Aa3"/>
    <s v="NA"/>
    <n v="5.7040677343264193E-3"/>
    <n v="5.6452209790575886E-2"/>
    <n v="8.7522097905758829E-3"/>
    <n v="0.25"/>
    <x v="7"/>
  </r>
  <r>
    <x v="87"/>
    <n v="16951.682245420201"/>
    <s v="Ba3"/>
    <s v="NA"/>
    <n v="3.4224406405958516E-2"/>
    <n v="0.1002132587434553"/>
    <n v="5.2513258743455297E-2"/>
    <n v="0.1"/>
    <x v="1"/>
  </r>
  <r>
    <x v="88"/>
    <n v="422227.00542868808"/>
    <s v="A3"/>
    <n v="7.7999999999999996E-3"/>
    <n v="1.1408135468652839E-2"/>
    <n v="6.5204419581151765E-2"/>
    <n v="1.7504419581151766E-2"/>
    <n v="0.24"/>
    <x v="7"/>
  </r>
  <r>
    <x v="89"/>
    <n v="7061.6082672545081"/>
    <s v="Caa2"/>
    <s v="NA"/>
    <n v="8.5672860480275226E-2"/>
    <n v="0.17915475881531617"/>
    <n v="0.13145475881531618"/>
    <n v="0.15"/>
    <x v="7"/>
  </r>
  <r>
    <x v="90"/>
    <n v="26794.747239880471"/>
    <s v="Caa2"/>
    <s v="NA"/>
    <n v="8.5672860480275226E-2"/>
    <n v="0.17915475881531617"/>
    <n v="0.13145475881531618"/>
    <n v="0.3"/>
    <x v="3"/>
  </r>
  <r>
    <x v="91"/>
    <n v="24971.574502447478"/>
    <s v="A2"/>
    <s v="NA"/>
    <n v="8.0528015072843552E-3"/>
    <n v="6.0056060880813007E-2"/>
    <n v="1.2356060880813008E-2"/>
    <n v="0.35"/>
    <x v="2"/>
  </r>
  <r>
    <x v="92"/>
    <n v="14937.861786169999"/>
    <s v="Baa3"/>
    <s v="NA"/>
    <n v="2.091491502586354E-2"/>
    <n v="7.979143589877824E-2"/>
    <n v="3.2091435898778241E-2"/>
    <n v="0.15"/>
    <x v="3"/>
  </r>
  <r>
    <x v="93"/>
    <n v="1856365.6161659381"/>
    <s v="Baa2"/>
    <n v="1.8599999999999998E-2"/>
    <n v="1.8118803391389805E-2"/>
    <n v="7.5501136981829281E-2"/>
    <n v="2.7801136981829278E-2"/>
    <n v="0.3"/>
    <x v="4"/>
  </r>
  <r>
    <x v="94"/>
    <n v="18200.340853651684"/>
    <s v="B3"/>
    <s v="NA"/>
    <n v="6.1849989354559008E-2"/>
    <n v="0.14260141204291102"/>
    <n v="9.4901412042911026E-2"/>
    <n v="0.12"/>
    <x v="1"/>
  </r>
  <r>
    <x v="95"/>
    <n v="23794.540024513171"/>
    <s v="B1"/>
    <s v="NA"/>
    <n v="4.2836430240137613E-2"/>
    <n v="0.1134273794076581"/>
    <n v="6.572737940765809E-2"/>
    <n v="0.25"/>
    <x v="7"/>
  </r>
  <r>
    <x v="96"/>
    <n v="8270.0166708677389"/>
    <s v="B1"/>
    <s v="NA"/>
    <n v="4.2836430240137613E-2"/>
    <n v="0.1134273794076581"/>
    <n v="6.572737940765809E-2"/>
    <n v="0.15"/>
    <x v="1"/>
  </r>
  <r>
    <x v="97"/>
    <n v="16199"/>
    <s v="Baa3"/>
    <s v="NA"/>
    <n v="2.091491502586354E-2"/>
    <n v="7.979143589877824E-2"/>
    <n v="3.2091435898778241E-2"/>
    <n v="0.3"/>
    <x v="5"/>
  </r>
  <r>
    <x v="98"/>
    <n v="160610.9940547341"/>
    <s v="Ba1"/>
    <n v="1.6E-2"/>
    <n v="2.3822871125716225E-2"/>
    <n v="8.425334677240516E-2"/>
    <n v="3.6553346772405161E-2"/>
    <n v="0.33"/>
    <x v="3"/>
  </r>
  <r>
    <x v="99"/>
    <n v="22745.341305062204"/>
    <s v="Caa3"/>
    <s v="NA"/>
    <n v="9.5179640037485941E-2"/>
    <n v="0.19374177513294266"/>
    <n v="0.14604177513294267"/>
    <n v="0.32"/>
    <x v="3"/>
  </r>
  <r>
    <x v="100"/>
    <n v="13372.354511716025"/>
    <s v="B1"/>
    <s v="NA"/>
    <n v="4.2836430240137613E-2"/>
    <n v="0.1134273794076581"/>
    <n v="6.572737940765809E-2"/>
    <n v="0.32"/>
    <x v="3"/>
  </r>
  <r>
    <x v="101"/>
    <n v="42914.268286710925"/>
    <s v="Ba3"/>
    <s v="NA"/>
    <n v="3.4224406405958516E-2"/>
    <n v="0.1002132587434553"/>
    <n v="5.2513258743455297E-2"/>
    <n v="0.25"/>
    <x v="7"/>
  </r>
  <r>
    <x v="102"/>
    <n v="1214927.6985726559"/>
    <s v="Aaa"/>
    <n v="2.0999999999999999E-3"/>
    <n v="0"/>
    <n v="4.7699999999999999E-2"/>
    <n v="0"/>
    <n v="0.25800000000000001"/>
    <x v="2"/>
  </r>
  <r>
    <x v="103"/>
    <n v="260172.3850976165"/>
    <s v="Aaa"/>
    <n v="2.7000000000000001E-3"/>
    <n v="0"/>
    <n v="4.7699999999999999E-2"/>
    <n v="0"/>
    <n v="0.28000000000000003"/>
    <x v="6"/>
  </r>
  <r>
    <x v="104"/>
    <n v="19693.982967592558"/>
    <s v="B2"/>
    <n v="6.5299999999999997E-2"/>
    <n v="5.2343209797348314E-2"/>
    <n v="0.12801439572528456"/>
    <n v="8.0314395725284565E-2"/>
    <n v="0.3"/>
    <x v="4"/>
  </r>
  <r>
    <x v="105"/>
    <n v="19876.12848578567"/>
    <s v="Caa3"/>
    <s v="NA"/>
    <n v="9.5179640037485941E-2"/>
    <n v="0.19374177513294266"/>
    <n v="0.14604177513294267"/>
    <n v="0.3"/>
    <x v="3"/>
  </r>
  <r>
    <x v="106"/>
    <n v="252261.88014115053"/>
    <s v="B3"/>
    <n v="4.6899999999999997E-2"/>
    <n v="6.1849989354559008E-2"/>
    <n v="0.14260141204291102"/>
    <n v="9.4901412042911026E-2"/>
    <n v="0.3"/>
    <x v="3"/>
  </r>
  <r>
    <x v="107"/>
    <n v="483592.64831330121"/>
    <s v="Aaa"/>
    <n v="1.8E-3"/>
    <n v="0"/>
    <n v="4.7699999999999999E-2"/>
    <n v="0"/>
    <n v="0.22"/>
    <x v="2"/>
  </r>
  <r>
    <x v="108"/>
    <n v="107137.19876938646"/>
    <s v="Baa3"/>
    <n v="1.5699999999999999E-2"/>
    <n v="2.091491502586354E-2"/>
    <n v="7.979143589877824E-2"/>
    <n v="3.2091435898778241E-2"/>
    <n v="0.15"/>
    <x v="0"/>
  </r>
  <r>
    <x v="109"/>
    <n v="371570.00012126582"/>
    <s v="Caa1"/>
    <n v="6.8599999999999994E-2"/>
    <n v="7.1356768911769716E-2"/>
    <n v="0.15718842836053751"/>
    <n v="0.10948842836053752"/>
    <n v="0.28999999999999998"/>
    <x v="7"/>
  </r>
  <r>
    <x v="110"/>
    <n v="86523.959131747193"/>
    <s v="Baa3"/>
    <n v="2.1999999999999999E-2"/>
    <n v="2.091491502586354E-2"/>
    <n v="7.979143589877824E-2"/>
    <n v="3.2091435898778241E-2"/>
    <n v="0.25"/>
    <x v="4"/>
  </r>
  <r>
    <x v="111"/>
    <n v="31800.428265524628"/>
    <s v="B2"/>
    <s v="NA"/>
    <n v="5.2343209797348314E-2"/>
    <n v="0.12801439572528456"/>
    <n v="8.0314395725284565E-2"/>
    <n v="0.3"/>
    <x v="7"/>
  </r>
  <r>
    <x v="112"/>
    <n v="44458.118397444545"/>
    <s v="Baa3"/>
    <s v="NA"/>
    <n v="2.091491502586354E-2"/>
    <n v="7.979143589877824E-2"/>
    <n v="3.2091435898778241E-2"/>
    <n v="0.1"/>
    <x v="4"/>
  </r>
  <r>
    <x v="113"/>
    <n v="289221.9690629408"/>
    <s v="Baa1"/>
    <n v="1.41E-2"/>
    <n v="1.5210847291537115E-2"/>
    <n v="7.1039226108202347E-2"/>
    <n v="2.3339226108202347E-2"/>
    <n v="0.29499999999999998"/>
    <x v="4"/>
  </r>
  <r>
    <x v="114"/>
    <n v="461617.50978235458"/>
    <s v="Baa2"/>
    <n v="1.3299999999999999E-2"/>
    <n v="1.8118803391389805E-2"/>
    <n v="7.5501136981829281E-2"/>
    <n v="2.7801136981829278E-2"/>
    <n v="0.25"/>
    <x v="7"/>
  </r>
  <r>
    <x v="115"/>
    <n v="917767.10614676145"/>
    <s v="A2"/>
    <n v="1.0699999999999999E-2"/>
    <n v="8.0528015072843552E-3"/>
    <n v="6.0056060880813007E-2"/>
    <n v="1.2356060880813008E-2"/>
    <n v="0.19"/>
    <x v="1"/>
  </r>
  <r>
    <x v="116"/>
    <n v="313271.18508510228"/>
    <s v="A3"/>
    <n v="4.3E-3"/>
    <n v="1.1408135468652839E-2"/>
    <n v="6.5204419581151765E-2"/>
    <n v="1.7504419581151766E-2"/>
    <n v="0.315"/>
    <x v="2"/>
  </r>
  <r>
    <x v="117"/>
    <n v="219162.63736263735"/>
    <s v="Aa2"/>
    <n v="8.9999999999999993E-3"/>
    <n v="4.6974675459158736E-3"/>
    <n v="5.4907702180474256E-2"/>
    <n v="7.2077021804742543E-3"/>
    <n v="0.1"/>
    <x v="0"/>
  </r>
  <r>
    <x v="118"/>
    <n v="11000"/>
    <s v="A3"/>
    <s v="NA"/>
    <n v="1.1408135468652839E-2"/>
    <n v="6.5204419581151765E-2"/>
    <n v="1.7504419581151766E-2"/>
    <n v="0.18940000000000001"/>
    <x v="0"/>
  </r>
  <r>
    <x v="119"/>
    <n v="382564.21798886574"/>
    <s v="Baa3"/>
    <n v="2.4199999999999999E-2"/>
    <n v="2.091491502586354E-2"/>
    <n v="7.979143589877824E-2"/>
    <n v="3.2091435898778241E-2"/>
    <n v="0.16"/>
    <x v="1"/>
  </r>
  <r>
    <x v="120"/>
    <n v="14251.642235096837"/>
    <s v="B2"/>
    <n v="3.9399999999999998E-2"/>
    <n v="5.2343209797348314E-2"/>
    <n v="0.12801439572528456"/>
    <n v="8.0314395725284565E-2"/>
    <n v="0.28000000000000003"/>
    <x v="3"/>
  </r>
  <r>
    <x v="121"/>
    <n v="1239804.5333333332"/>
    <s v="Aa3"/>
    <n v="1.2699999999999999E-2"/>
    <n v="5.7040677343264193E-3"/>
    <n v="5.6452209790575886E-2"/>
    <n v="8.7522097905758829E-3"/>
    <n v="0.2"/>
    <x v="0"/>
  </r>
  <r>
    <x v="122"/>
    <n v="32808.056600943579"/>
    <s v="Caa1"/>
    <n v="8.6999999999999994E-2"/>
    <n v="7.1356768911769716E-2"/>
    <n v="0.15718842836053751"/>
    <n v="0.10948842836053752"/>
    <n v="0.3"/>
    <x v="3"/>
  </r>
  <r>
    <x v="123"/>
    <n v="90097.765959111435"/>
    <s v="Ba2"/>
    <n v="2.12E-2"/>
    <n v="2.863218313701105E-2"/>
    <n v="9.1632660909557379E-2"/>
    <n v="4.3932660909557379E-2"/>
    <n v="0.15"/>
    <x v="1"/>
  </r>
  <r>
    <x v="124"/>
    <n v="24800"/>
    <s v="Ba1"/>
    <e v="#N/A"/>
    <n v="2.3822871125716225E-2"/>
    <n v="8.425334677240516E-2"/>
    <n v="3.6553346772405161E-2"/>
    <n v="0.18940000000000001"/>
    <x v="0"/>
  </r>
  <r>
    <x v="125"/>
    <n v="547386.64589184662"/>
    <s v="Aaa"/>
    <e v="#N/A"/>
    <n v="0"/>
    <n v="4.7699999999999999E-2"/>
    <n v="0"/>
    <n v="0.17"/>
    <x v="7"/>
  </r>
  <r>
    <x v="126"/>
    <n v="140934.07653237498"/>
    <s v="A3"/>
    <n v="6.7999999999999996E-3"/>
    <n v="1.1408135468652839E-2"/>
    <n v="6.5204419581151765E-2"/>
    <n v="1.7504419581151766E-2"/>
    <n v="0.21"/>
    <x v="1"/>
  </r>
  <r>
    <x v="127"/>
    <n v="72972.015197385903"/>
    <s v="A2"/>
    <n v="7.9000000000000008E-3"/>
    <n v="8.0528015072843552E-3"/>
    <n v="6.0056060880813007E-2"/>
    <n v="1.2356060880813008E-2"/>
    <n v="0.22"/>
    <x v="1"/>
  </r>
  <r>
    <x v="128"/>
    <n v="1583.9647037506109"/>
    <s v="Caa1"/>
    <e v="#N/A"/>
    <n v="7.1356768911769716E-2"/>
    <n v="0.15718842836053751"/>
    <n v="0.10948842836053752"/>
    <n v="0.3"/>
    <x v="7"/>
  </r>
  <r>
    <x v="129"/>
    <n v="401144.99837358523"/>
    <s v="Ba2"/>
    <n v="3.04E-2"/>
    <n v="2.863218313701105E-2"/>
    <n v="9.1632660909557379E-2"/>
    <n v="4.3932660909557379E-2"/>
    <n v="0.27"/>
    <x v="3"/>
  </r>
  <r>
    <x v="130"/>
    <n v="1725671.6527421873"/>
    <s v="A3"/>
    <n v="4.5999999999999999E-3"/>
    <n v="1.1408135468652839E-2"/>
    <n v="6.5204419581151765E-2"/>
    <n v="1.7504419581151766E-2"/>
    <n v="0.25"/>
    <x v="2"/>
  </r>
  <r>
    <x v="131"/>
    <n v="98963.185509649949"/>
    <s v="Ca"/>
    <s v="NA"/>
    <n v="0.11419319915190733"/>
    <n v="0.22291580776819558"/>
    <n v="0.17521580776819559"/>
    <n v="0.3"/>
    <x v="7"/>
  </r>
  <r>
    <x v="132"/>
    <n v="1797.8366659513574"/>
    <s v="Ba2"/>
    <e v="#N/A"/>
    <n v="2.863218313701105E-2"/>
    <n v="9.1632660909557379E-2"/>
    <n v="4.3932660909557379E-2"/>
    <n v="0.2"/>
    <x v="5"/>
  </r>
  <r>
    <x v="133"/>
    <n v="1157.2074074074073"/>
    <s v="B3"/>
    <e v="#N/A"/>
    <n v="6.1849989354559008E-2"/>
    <n v="0.14260141204291102"/>
    <n v="9.4901412042911026E-2"/>
    <n v="0.28000000000000003"/>
    <x v="5"/>
  </r>
  <r>
    <x v="134"/>
    <n v="4416.7751120962666"/>
    <s v="Caa1"/>
    <e v="#N/A"/>
    <n v="7.1356768911769716E-2"/>
    <n v="0.15718842836053751"/>
    <n v="0.10948842836053752"/>
    <n v="0.36"/>
    <x v="4"/>
  </r>
  <r>
    <x v="135"/>
    <n v="4858.8858407723637"/>
    <s v="B2"/>
    <e v="#N/A"/>
    <n v="5.2343209797348314E-2"/>
    <n v="0.12801439572528456"/>
    <n v="8.0314395725284565E-2"/>
    <n v="0.25"/>
    <x v="3"/>
  </r>
  <r>
    <x v="136"/>
    <n v="603715.22426579788"/>
    <s v="Aaa"/>
    <n v="1.9E-3"/>
    <n v="0"/>
    <n v="4.7699999999999999E-2"/>
    <n v="0"/>
    <n v="0.20600000000000002"/>
    <x v="2"/>
  </r>
  <r>
    <x v="137"/>
    <n v="936564.19804851583"/>
    <s v="Aaa"/>
    <n v="1.6999999999999999E-3"/>
    <n v="0"/>
    <n v="4.7699999999999999E-2"/>
    <n v="0"/>
    <n v="0.1961"/>
    <x v="2"/>
  </r>
  <r>
    <x v="138"/>
    <n v="791610"/>
    <s v="Aa3"/>
    <e v="#N/A"/>
    <n v="5.7040677343264193E-3"/>
    <n v="5.6452209790575886E-2"/>
    <n v="8.7522097905758829E-3"/>
    <n v="0.2"/>
    <x v="7"/>
  </r>
  <r>
    <x v="139"/>
    <n v="14204.575548553579"/>
    <s v="B2"/>
    <e v="#N/A"/>
    <n v="5.2343209797348314E-2"/>
    <n v="0.12801439572528456"/>
    <n v="8.0314395725284565E-2"/>
    <n v="0.18"/>
    <x v="1"/>
  </r>
  <r>
    <x v="140"/>
    <n v="78844.405385219507"/>
    <s v="B1"/>
    <e v="#N/A"/>
    <n v="4.2836430240137613E-2"/>
    <n v="0.1134273794076581"/>
    <n v="6.572737940765809E-2"/>
    <n v="0.3"/>
    <x v="3"/>
  </r>
  <r>
    <x v="141"/>
    <n v="526517.65884168376"/>
    <s v="Baa1"/>
    <n v="8.8999999999999999E-3"/>
    <n v="1.5210847291537115E-2"/>
    <n v="7.1039226108202347E-2"/>
    <n v="2.3339226108202347E-2"/>
    <n v="0.2"/>
    <x v="7"/>
  </r>
  <r>
    <x v="142"/>
    <n v="10651.180146530964"/>
    <s v="B3"/>
    <e v="#N/A"/>
    <n v="6.1849989354559008E-2"/>
    <n v="0.14260141204291102"/>
    <n v="9.4901412042911026E-2"/>
    <n v="0.27"/>
    <x v="3"/>
  </r>
  <r>
    <x v="143"/>
    <n v="25633.544529484869"/>
    <s v="Ba2"/>
    <e v="#N/A"/>
    <n v="2.863218313701105E-2"/>
    <n v="9.1632660909557379E-2"/>
    <n v="4.3932660909557379E-2"/>
    <n v="0.3"/>
    <x v="5"/>
  </r>
  <r>
    <x v="144"/>
    <n v="51332.285656542161"/>
    <s v="Caa1"/>
    <n v="6.9400000000000003E-2"/>
    <n v="7.1356768911769716E-2"/>
    <n v="0.15718842836053751"/>
    <n v="0.10948842836053752"/>
    <n v="0.15"/>
    <x v="3"/>
  </r>
  <r>
    <x v="145"/>
    <n v="1359123.7687741222"/>
    <s v="Ba3"/>
    <n v="4.0800000000000003E-2"/>
    <n v="3.4224406405958516E-2"/>
    <n v="0.1002132587434553"/>
    <n v="5.2513258743455297E-2"/>
    <n v="0.25"/>
    <x v="2"/>
  </r>
  <r>
    <x v="146"/>
    <n v="1745.3779999999999"/>
    <s v="Baa1"/>
    <e v="#N/A"/>
    <n v="1.5210847291537115E-2"/>
    <n v="7.1039226108202347E-2"/>
    <n v="2.3339226108202347E-2"/>
    <n v="0"/>
    <x v="5"/>
  </r>
  <r>
    <x v="147"/>
    <n v="53911.907086152532"/>
    <s v="B3"/>
    <e v="#N/A"/>
    <n v="6.1849989354559008E-2"/>
    <n v="0.14260141204291102"/>
    <n v="9.4901412042911026E-2"/>
    <n v="0.3"/>
    <x v="3"/>
  </r>
  <r>
    <x v="148"/>
    <n v="190741.26241470463"/>
    <s v="Ca"/>
    <s v="NA"/>
    <n v="0.11419319915190733"/>
    <n v="0.22291580776819558"/>
    <n v="0.17521580776819559"/>
    <n v="0.18"/>
    <x v="1"/>
  </r>
  <r>
    <x v="149"/>
    <n v="552324.84683458146"/>
    <s v="Aa2"/>
    <e v="#N/A"/>
    <n v="4.6974675459158736E-3"/>
    <n v="5.4907702180474256E-2"/>
    <n v="7.2077021804742543E-3"/>
    <n v="0.09"/>
    <x v="0"/>
  </r>
  <r>
    <x v="150"/>
    <n v="3686033.0444821278"/>
    <s v="Aa3"/>
    <n v="4.1999999999999997E-3"/>
    <n v="5.7040677343264193E-3"/>
    <n v="5.6452209790575886E-2"/>
    <n v="8.7522097905758829E-3"/>
    <n v="0.25"/>
    <x v="2"/>
  </r>
  <r>
    <x v="151"/>
    <n v="28750956.130731199"/>
    <s v="Aa1"/>
    <n v="5.7000000000000002E-3"/>
    <n v="2.6131717269259457E-3"/>
    <n v="5.0299999999999997E-2"/>
    <n v="2.6131717269259457E-3"/>
    <n v="0.25"/>
    <x v="8"/>
  </r>
  <r>
    <x v="152"/>
    <n v="80961.511073579648"/>
    <s v="Baa1"/>
    <n v="1.03E-2"/>
    <n v="1.5210847291537115E-2"/>
    <n v="7.1039226108202347E-2"/>
    <n v="2.3339226108202347E-2"/>
    <n v="0.25"/>
    <x v="4"/>
  </r>
  <r>
    <x v="153"/>
    <n v="114965.29346661102"/>
    <s v="Ba3"/>
    <e v="#N/A"/>
    <n v="3.4224406405958516E-2"/>
    <n v="0.1002132587434553"/>
    <n v="5.2513258743455297E-2"/>
    <n v="0.15"/>
    <x v="1"/>
  </r>
  <r>
    <x v="154"/>
    <n v="119802.96325778269"/>
    <s v="C"/>
    <s v="NA"/>
    <n v="0.17499999999999999"/>
    <n v="0.31621657180253437"/>
    <n v="0.26851657180253435"/>
    <n v="0.34"/>
    <x v="4"/>
  </r>
  <r>
    <x v="155"/>
    <n v="476388.23030717525"/>
    <s v="Ba2"/>
    <n v="1.5900000000000001E-2"/>
    <n v="2.863218313701105E-2"/>
    <n v="9.1632660909557379E-2"/>
    <n v="4.3932660909557379E-2"/>
    <n v="0.2"/>
    <x v="7"/>
  </r>
  <r>
    <x v="156"/>
    <n v="25303.185342251072"/>
    <s v="Caa2"/>
    <n v="5.1299999999999998E-2"/>
    <n v="8.5672860480275226E-2"/>
    <n v="0.17915475881531617"/>
    <n v="0.13145475881531618"/>
    <n v="0.3"/>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le5" cacheId="26" applyNumberFormats="0" applyBorderFormats="0" applyFontFormats="0" applyPatternFormats="0" applyAlignmentFormats="0" applyWidthHeightFormats="1" dataCaption="Values" updatedVersion="8" minRefreshableVersion="3" useAutoFormatting="1" itemPrintTitles="1" createdVersion="4" indent="0" outline="1" outlineData="1" gridDropZones="1" multipleFieldFilters="0">
  <location ref="A3:E14" firstHeaderRow="1" firstDataRow="2" firstDataCol="1"/>
  <pivotFields count="9">
    <pivotField axis="axisRow" showAll="0">
      <items count="1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1"/>
        <item x="82"/>
        <item x="83"/>
        <item x="84"/>
        <item x="85"/>
        <item x="86"/>
        <item x="87"/>
        <item x="88"/>
        <item x="89"/>
        <item x="91"/>
        <item x="92"/>
        <item x="93"/>
        <item x="94"/>
        <item x="95"/>
        <item x="96"/>
        <item x="97"/>
        <item x="98"/>
        <item x="99"/>
        <item x="100"/>
        <item x="102"/>
        <item x="103"/>
        <item x="104"/>
        <item x="106"/>
        <item x="107"/>
        <item x="108"/>
        <item x="109"/>
        <item x="110"/>
        <item x="111"/>
        <item x="112"/>
        <item x="113"/>
        <item x="114"/>
        <item x="115"/>
        <item x="116"/>
        <item x="117"/>
        <item x="118"/>
        <item x="119"/>
        <item m="1" x="157"/>
        <item x="120"/>
        <item x="121"/>
        <item x="122"/>
        <item x="123"/>
        <item x="124"/>
        <item x="125"/>
        <item x="126"/>
        <item x="127"/>
        <item x="128"/>
        <item x="129"/>
        <item x="130"/>
        <item x="131"/>
        <item x="132"/>
        <item x="133"/>
        <item x="134"/>
        <item x="135"/>
        <item x="136"/>
        <item x="137"/>
        <item x="138"/>
        <item x="139"/>
        <item x="140"/>
        <item x="141"/>
        <item x="143"/>
        <item x="144"/>
        <item x="145"/>
        <item x="146"/>
        <item x="147"/>
        <item x="148"/>
        <item x="149"/>
        <item x="150"/>
        <item x="151"/>
        <item x="152"/>
        <item x="154"/>
        <item x="155"/>
        <item x="156"/>
        <item x="90"/>
        <item x="142"/>
        <item x="153"/>
        <item x="105"/>
        <item x="80"/>
        <item x="101"/>
        <item t="default"/>
      </items>
    </pivotField>
    <pivotField numFmtId="2" subtotalTop="0" showAll="0" defaultSubtotal="0"/>
    <pivotField showAll="0" defaultSubtotal="0"/>
    <pivotField subtotalTop="0" showAll="0" defaultSubtotal="0"/>
    <pivotField dataField="1" numFmtId="10" showAll="0"/>
    <pivotField dataField="1" numFmtId="10" showAll="0" defaultSubtotal="0"/>
    <pivotField dataField="1" numFmtId="10" showAll="0"/>
    <pivotField dataField="1" numFmtId="10" showAll="0" defaultSubtotal="0"/>
    <pivotField axis="axisRow" showAll="0">
      <items count="10">
        <item sd="0" x="3"/>
        <item sd="0" x="7"/>
        <item sd="0" x="6"/>
        <item sd="0" x="5"/>
        <item sd="0" x="4"/>
        <item sd="0" x="1"/>
        <item sd="0" x="0"/>
        <item sd="0" x="8"/>
        <item sd="0" x="2"/>
        <item t="default" sd="0"/>
      </items>
    </pivotField>
  </pivotFields>
  <rowFields count="2">
    <field x="8"/>
    <field x="0"/>
  </rowFields>
  <rowItems count="10">
    <i>
      <x/>
    </i>
    <i>
      <x v="1"/>
    </i>
    <i>
      <x v="2"/>
    </i>
    <i>
      <x v="3"/>
    </i>
    <i>
      <x v="4"/>
    </i>
    <i>
      <x v="5"/>
    </i>
    <i>
      <x v="6"/>
    </i>
    <i>
      <x v="7"/>
    </i>
    <i>
      <x v="8"/>
    </i>
    <i t="grand">
      <x/>
    </i>
  </rowItems>
  <colFields count="1">
    <field x="-2"/>
  </colFields>
  <colItems count="4">
    <i>
      <x/>
    </i>
    <i i="1">
      <x v="1"/>
    </i>
    <i i="2">
      <x v="2"/>
    </i>
    <i i="3">
      <x v="3"/>
    </i>
  </colItems>
  <dataFields count="4">
    <dataField name="Average of Adj. Default Spread" fld="4" subtotal="average" baseField="0" baseItem="0"/>
    <dataField name="Average of Country Risk Premium" fld="6" subtotal="average" baseField="0" baseItem="0"/>
    <dataField name="Average of Equity Risk Premium" fld="5" subtotal="average" baseField="0" baseItem="0"/>
    <dataField name="Average of Corporate Tax Rate" fld="7" subtotal="average" baseField="0" baseItem="0"/>
  </dataFields>
  <formats count="11">
    <format dxfId="10">
      <pivotArea outline="0" collapsedLevelsAreSubtotals="1" fieldPosition="0"/>
    </format>
    <format dxfId="9">
      <pivotArea collapsedLevelsAreSubtotals="1" fieldPosition="0">
        <references count="1">
          <reference field="8" count="1">
            <x v="0"/>
          </reference>
        </references>
      </pivotArea>
    </format>
    <format dxfId="8">
      <pivotArea collapsedLevelsAreSubtotals="1" fieldPosition="0">
        <references count="1">
          <reference field="8" count="1">
            <x v="1"/>
          </reference>
        </references>
      </pivotArea>
    </format>
    <format dxfId="7">
      <pivotArea collapsedLevelsAreSubtotals="1" fieldPosition="0">
        <references count="1">
          <reference field="8" count="1">
            <x v="2"/>
          </reference>
        </references>
      </pivotArea>
    </format>
    <format dxfId="6">
      <pivotArea collapsedLevelsAreSubtotals="1" fieldPosition="0">
        <references count="1">
          <reference field="8" count="1">
            <x v="3"/>
          </reference>
        </references>
      </pivotArea>
    </format>
    <format dxfId="5">
      <pivotArea collapsedLevelsAreSubtotals="1" fieldPosition="0">
        <references count="1">
          <reference field="8" count="1">
            <x v="4"/>
          </reference>
        </references>
      </pivotArea>
    </format>
    <format dxfId="4">
      <pivotArea collapsedLevelsAreSubtotals="1" fieldPosition="0">
        <references count="1">
          <reference field="8" count="1">
            <x v="5"/>
          </reference>
        </references>
      </pivotArea>
    </format>
    <format dxfId="3">
      <pivotArea collapsedLevelsAreSubtotals="1" fieldPosition="0">
        <references count="1">
          <reference field="8" count="1">
            <x v="6"/>
          </reference>
        </references>
      </pivotArea>
    </format>
    <format dxfId="2">
      <pivotArea collapsedLevelsAreSubtotals="1" fieldPosition="0">
        <references count="1">
          <reference field="8" count="1">
            <x v="7"/>
          </reference>
        </references>
      </pivotArea>
    </format>
    <format dxfId="1">
      <pivotArea collapsedLevelsAreSubtotals="1" fieldPosition="0">
        <references count="1">
          <reference field="8" count="1">
            <x v="8"/>
          </reference>
        </references>
      </pivotArea>
    </format>
    <format dxfId="0">
      <pivotArea dataOnly="0" labelOnly="1" fieldPosition="0">
        <references count="1">
          <reference field="8" count="0"/>
        </references>
      </pivotArea>
    </format>
  </formats>
  <pivotTableStyleInfo name="PivotStyleMedium4"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I165" totalsRowShown="0" headerRowDxfId="31" dataDxfId="29" headerRowBorderDxfId="30" tableBorderDxfId="28" totalsRowBorderDxfId="27">
  <autoFilter ref="A8:I165" xr:uid="{00000000-0009-0000-0100-000001000000}"/>
  <tableColumns count="9">
    <tableColumn id="1" xr3:uid="{00000000-0010-0000-0000-000001000000}" name="Country" dataDxfId="26"/>
    <tableColumn id="2" xr3:uid="{00000000-0010-0000-0000-000002000000}" name="Africa" dataDxfId="25"/>
    <tableColumn id="3" xr3:uid="{00000000-0010-0000-0000-000003000000}" name="Moody's rating" dataDxfId="24"/>
    <tableColumn id="4" xr3:uid="{00000000-0010-0000-0000-000004000000}" name="Rating-based Default Spread" dataDxfId="23" dataCellStyle="Percent"/>
    <tableColumn id="5" xr3:uid="{00000000-0010-0000-0000-000005000000}" name="Total Equity Risk Premium" dataDxfId="22" dataCellStyle="Percent"/>
    <tableColumn id="6" xr3:uid="{00000000-0010-0000-0000-000006000000}" name="Country Risk Premium" dataDxfId="21"/>
    <tableColumn id="7" xr3:uid="{00000000-0010-0000-0000-000007000000}" name="Sovereign CDS, net of Swiss CDS" dataDxfId="20">
      <calculatedColumnFormula>VLOOKUP(A9,'10-year CDS Spreads'!$A$2:$D$158,4,FALSE)</calculatedColumnFormula>
    </tableColumn>
    <tableColumn id="8" xr3:uid="{00000000-0010-0000-0000-000008000000}" name="Total Equity Risk Premium2" dataDxfId="19"/>
    <tableColumn id="9" xr3:uid="{00000000-0010-0000-0000-000009000000}" name="Country Risk Premium3" dataDxfId="1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67:E188" totalsRowShown="0" headerRowDxfId="17" tableBorderDxfId="16">
  <autoFilter ref="A167:E188" xr:uid="{00000000-0009-0000-0100-000002000000}"/>
  <tableColumns count="5">
    <tableColumn id="1" xr3:uid="{00000000-0010-0000-0100-000001000000}" name="Country" dataDxfId="15"/>
    <tableColumn id="2" xr3:uid="{00000000-0010-0000-0100-000002000000}" name="PRS Composite Risk Score" dataDxfId="14"/>
    <tableColumn id="3" xr3:uid="{00000000-0010-0000-0100-000003000000}" name="ERP" dataDxfId="13" dataCellStyle="Percent"/>
    <tableColumn id="4" xr3:uid="{00000000-0010-0000-0100-000004000000}" name="CRP" dataDxfId="12" dataCellStyle="Percent"/>
    <tableColumn id="5" xr3:uid="{00000000-0010-0000-0100-000005000000}" name="Default Spread" dataDxfId="11" dataCellStyle="Percent"/>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oodys.com/" TargetMode="External"/><Relationship Id="rId2" Type="http://schemas.openxmlformats.org/officeDocument/2006/relationships/hyperlink" Target="http://www.stern.nyu.edu/~adamodar/pc/implprem/ERPbymonth.xls" TargetMode="External"/><Relationship Id="rId1" Type="http://schemas.openxmlformats.org/officeDocument/2006/relationships/hyperlink" Target="http://www.damodaran.com/" TargetMode="External"/><Relationship Id="rId4" Type="http://schemas.openxmlformats.org/officeDocument/2006/relationships/hyperlink" Target="https://papers.ssrn.com/sol3/papers.cfm?abstract_id=4398884"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data.worldbank.org/data-catalog/GDP-ranking-table"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https://tradingeconomics.com/uganda/rating" TargetMode="External"/><Relationship Id="rId299" Type="http://schemas.openxmlformats.org/officeDocument/2006/relationships/hyperlink" Target="https://www.theglobaleconomy.com/Togo/credit_rating/" TargetMode="External"/><Relationship Id="rId21" Type="http://schemas.openxmlformats.org/officeDocument/2006/relationships/hyperlink" Target="https://tradingeconomics.com/qatar/rating" TargetMode="External"/><Relationship Id="rId63" Type="http://schemas.openxmlformats.org/officeDocument/2006/relationships/hyperlink" Target="https://tradingeconomics.com/aruba/rating" TargetMode="External"/><Relationship Id="rId159" Type="http://schemas.openxmlformats.org/officeDocument/2006/relationships/hyperlink" Target="https://www.theglobaleconomy.com/Aruba/credit_rating/" TargetMode="External"/><Relationship Id="rId170" Type="http://schemas.openxmlformats.org/officeDocument/2006/relationships/hyperlink" Target="https://www.theglobaleconomy.com/Benin/credit_rating/" TargetMode="External"/><Relationship Id="rId226" Type="http://schemas.openxmlformats.org/officeDocument/2006/relationships/hyperlink" Target="https://www.theglobaleconomy.com/Kazakhstan/credit_rating/" TargetMode="External"/><Relationship Id="rId268" Type="http://schemas.openxmlformats.org/officeDocument/2006/relationships/hyperlink" Target="https://www.theglobaleconomy.com/Philippines/credit_rating/" TargetMode="External"/><Relationship Id="rId32" Type="http://schemas.openxmlformats.org/officeDocument/2006/relationships/hyperlink" Target="https://tradingeconomics.com/saudi-arabia/rating" TargetMode="External"/><Relationship Id="rId74" Type="http://schemas.openxmlformats.org/officeDocument/2006/relationships/hyperlink" Target="https://tradingeconomics.com/trinidad-and-tobago/rating" TargetMode="External"/><Relationship Id="rId128" Type="http://schemas.openxmlformats.org/officeDocument/2006/relationships/hyperlink" Target="https://tradingeconomics.com/kenya/rating" TargetMode="External"/><Relationship Id="rId5" Type="http://schemas.openxmlformats.org/officeDocument/2006/relationships/hyperlink" Target="https://tradingeconomics.com/liechtenstein/rating" TargetMode="External"/><Relationship Id="rId181" Type="http://schemas.openxmlformats.org/officeDocument/2006/relationships/hyperlink" Target="https://www.theglobaleconomy.com/Cape-Verde/credit_rating/" TargetMode="External"/><Relationship Id="rId237" Type="http://schemas.openxmlformats.org/officeDocument/2006/relationships/hyperlink" Target="https://www.theglobaleconomy.com/Luxembourg/credit_rating/" TargetMode="External"/><Relationship Id="rId279" Type="http://schemas.openxmlformats.org/officeDocument/2006/relationships/hyperlink" Target="https://www.theglobaleconomy.com/Saudi-Arabia/credit_rating/" TargetMode="External"/><Relationship Id="rId43" Type="http://schemas.openxmlformats.org/officeDocument/2006/relationships/hyperlink" Target="https://tradingeconomics.com/latvia/rating" TargetMode="External"/><Relationship Id="rId139" Type="http://schemas.openxmlformats.org/officeDocument/2006/relationships/hyperlink" Target="https://tradingeconomics.com/mozambique/rating" TargetMode="External"/><Relationship Id="rId290" Type="http://schemas.openxmlformats.org/officeDocument/2006/relationships/hyperlink" Target="https://www.theglobaleconomy.com/Sri-Lanka/credit_rating/" TargetMode="External"/><Relationship Id="rId304" Type="http://schemas.openxmlformats.org/officeDocument/2006/relationships/hyperlink" Target="https://www.theglobaleconomy.com/Uganda/credit_rating/" TargetMode="External"/><Relationship Id="rId85" Type="http://schemas.openxmlformats.org/officeDocument/2006/relationships/hyperlink" Target="https://tradingeconomics.com/uzbekistan/rating" TargetMode="External"/><Relationship Id="rId150" Type="http://schemas.openxmlformats.org/officeDocument/2006/relationships/hyperlink" Target="https://tradingeconomics.com/belarus/rating" TargetMode="External"/><Relationship Id="rId192" Type="http://schemas.openxmlformats.org/officeDocument/2006/relationships/hyperlink" Target="https://www.theglobaleconomy.com/Denmark/credit_rating/" TargetMode="External"/><Relationship Id="rId206" Type="http://schemas.openxmlformats.org/officeDocument/2006/relationships/hyperlink" Target="https://www.theglobaleconomy.com/Ghana/credit_rating/" TargetMode="External"/><Relationship Id="rId248" Type="http://schemas.openxmlformats.org/officeDocument/2006/relationships/hyperlink" Target="https://www.theglobaleconomy.com/Mongolia/credit_rating/" TargetMode="External"/><Relationship Id="rId12" Type="http://schemas.openxmlformats.org/officeDocument/2006/relationships/hyperlink" Target="https://tradingeconomics.com/european-union/rating" TargetMode="External"/><Relationship Id="rId108" Type="http://schemas.openxmlformats.org/officeDocument/2006/relationships/hyperlink" Target="https://tradingeconomics.com/lesotho/rating" TargetMode="External"/><Relationship Id="rId54" Type="http://schemas.openxmlformats.org/officeDocument/2006/relationships/hyperlink" Target="https://tradingeconomics.com/bulgaria/rating" TargetMode="External"/><Relationship Id="rId96" Type="http://schemas.openxmlformats.org/officeDocument/2006/relationships/hyperlink" Target="https://tradingeconomics.com/bangladesh/rating" TargetMode="External"/><Relationship Id="rId161" Type="http://schemas.openxmlformats.org/officeDocument/2006/relationships/hyperlink" Target="https://www.theglobaleconomy.com/Austria/credit_rating/" TargetMode="External"/><Relationship Id="rId217" Type="http://schemas.openxmlformats.org/officeDocument/2006/relationships/hyperlink" Target="https://www.theglobaleconomy.com/Iran/credit_rating/" TargetMode="External"/><Relationship Id="rId259" Type="http://schemas.openxmlformats.org/officeDocument/2006/relationships/hyperlink" Target="https://www.theglobaleconomy.com/Nigeria/credit_rating/" TargetMode="External"/><Relationship Id="rId23" Type="http://schemas.openxmlformats.org/officeDocument/2006/relationships/hyperlink" Target="https://tradingeconomics.com/isle-of-man/rating" TargetMode="External"/><Relationship Id="rId119" Type="http://schemas.openxmlformats.org/officeDocument/2006/relationships/hyperlink" Target="https://tradingeconomics.com/chad/rating" TargetMode="External"/><Relationship Id="rId270" Type="http://schemas.openxmlformats.org/officeDocument/2006/relationships/hyperlink" Target="https://www.theglobaleconomy.com/Portugal/credit_rating/" TargetMode="External"/><Relationship Id="rId65" Type="http://schemas.openxmlformats.org/officeDocument/2006/relationships/hyperlink" Target="https://tradingeconomics.com/india/rating" TargetMode="External"/><Relationship Id="rId130" Type="http://schemas.openxmlformats.org/officeDocument/2006/relationships/hyperlink" Target="https://tradingeconomics.com/congo/rating" TargetMode="External"/><Relationship Id="rId172" Type="http://schemas.openxmlformats.org/officeDocument/2006/relationships/hyperlink" Target="https://www.theglobaleconomy.com/Bolivia/credit_rating/" TargetMode="External"/><Relationship Id="rId193" Type="http://schemas.openxmlformats.org/officeDocument/2006/relationships/hyperlink" Target="https://www.theglobaleconomy.com/Dominican-Republic/credit_rating/" TargetMode="External"/><Relationship Id="rId207" Type="http://schemas.openxmlformats.org/officeDocument/2006/relationships/hyperlink" Target="https://www.theglobaleconomy.com/Greece/credit_rating/" TargetMode="External"/><Relationship Id="rId228" Type="http://schemas.openxmlformats.org/officeDocument/2006/relationships/hyperlink" Target="https://www.theglobaleconomy.com/Kuwait/credit_rating/" TargetMode="External"/><Relationship Id="rId249" Type="http://schemas.openxmlformats.org/officeDocument/2006/relationships/hyperlink" Target="https://www.theglobaleconomy.com/Montenegro/credit_rating/" TargetMode="External"/><Relationship Id="rId13" Type="http://schemas.openxmlformats.org/officeDocument/2006/relationships/hyperlink" Target="https://tradingeconomics.com/united-states/rating" TargetMode="External"/><Relationship Id="rId109" Type="http://schemas.openxmlformats.org/officeDocument/2006/relationships/hyperlink" Target="https://tradingeconomics.com/moldova/rating" TargetMode="External"/><Relationship Id="rId260" Type="http://schemas.openxmlformats.org/officeDocument/2006/relationships/hyperlink" Target="https://www.theglobaleconomy.com/Macedonia/credit_rating/" TargetMode="External"/><Relationship Id="rId281" Type="http://schemas.openxmlformats.org/officeDocument/2006/relationships/hyperlink" Target="https://www.theglobaleconomy.com/Serbia/credit_rating/" TargetMode="External"/><Relationship Id="rId34" Type="http://schemas.openxmlformats.org/officeDocument/2006/relationships/hyperlink" Target="https://tradingeconomics.com/iceland/rating" TargetMode="External"/><Relationship Id="rId55" Type="http://schemas.openxmlformats.org/officeDocument/2006/relationships/hyperlink" Target="https://tradingeconomics.com/philippines/rating" TargetMode="External"/><Relationship Id="rId76" Type="http://schemas.openxmlformats.org/officeDocument/2006/relationships/hyperlink" Target="https://tradingeconomics.com/serbia/rating" TargetMode="External"/><Relationship Id="rId97" Type="http://schemas.openxmlformats.org/officeDocument/2006/relationships/hyperlink" Target="https://tradingeconomics.com/fiji/rating" TargetMode="External"/><Relationship Id="rId120" Type="http://schemas.openxmlformats.org/officeDocument/2006/relationships/hyperlink" Target="https://tradingeconomics.com/egypt/rating" TargetMode="External"/><Relationship Id="rId141" Type="http://schemas.openxmlformats.org/officeDocument/2006/relationships/hyperlink" Target="https://tradingeconomics.com/argentina/rating" TargetMode="External"/><Relationship Id="rId7" Type="http://schemas.openxmlformats.org/officeDocument/2006/relationships/hyperlink" Target="https://tradingeconomics.com/netherlands/rating" TargetMode="External"/><Relationship Id="rId162" Type="http://schemas.openxmlformats.org/officeDocument/2006/relationships/hyperlink" Target="https://www.theglobaleconomy.com/Azerbaijan/credit_rating/" TargetMode="External"/><Relationship Id="rId183" Type="http://schemas.openxmlformats.org/officeDocument/2006/relationships/hyperlink" Target="https://www.theglobaleconomy.com/Chile/credit_rating/" TargetMode="External"/><Relationship Id="rId218" Type="http://schemas.openxmlformats.org/officeDocument/2006/relationships/hyperlink" Target="https://www.theglobaleconomy.com/Iraq/credit_rating/" TargetMode="External"/><Relationship Id="rId239" Type="http://schemas.openxmlformats.org/officeDocument/2006/relationships/hyperlink" Target="https://www.theglobaleconomy.com/Madagascar/credit_rating/" TargetMode="External"/><Relationship Id="rId250" Type="http://schemas.openxmlformats.org/officeDocument/2006/relationships/hyperlink" Target="https://www.theglobaleconomy.com/Montserrat/credit_rating/" TargetMode="External"/><Relationship Id="rId271" Type="http://schemas.openxmlformats.org/officeDocument/2006/relationships/hyperlink" Target="https://www.theglobaleconomy.com/Puerto-Rico/credit_rating/" TargetMode="External"/><Relationship Id="rId292" Type="http://schemas.openxmlformats.org/officeDocument/2006/relationships/hyperlink" Target="https://www.theglobaleconomy.com/Swaziland/credit_rating/" TargetMode="External"/><Relationship Id="rId306" Type="http://schemas.openxmlformats.org/officeDocument/2006/relationships/hyperlink" Target="https://www.theglobaleconomy.com/United-Arab-Emirates/credit_rating/" TargetMode="External"/><Relationship Id="rId24" Type="http://schemas.openxmlformats.org/officeDocument/2006/relationships/hyperlink" Target="https://tradingeconomics.com/macau/rating" TargetMode="External"/><Relationship Id="rId45" Type="http://schemas.openxmlformats.org/officeDocument/2006/relationships/hyperlink" Target="https://tradingeconomics.com/spain/rating" TargetMode="External"/><Relationship Id="rId66" Type="http://schemas.openxmlformats.org/officeDocument/2006/relationships/hyperlink" Target="https://tradingeconomics.com/mauritius/rating" TargetMode="External"/><Relationship Id="rId87" Type="http://schemas.openxmlformats.org/officeDocument/2006/relationships/hyperlink" Target="https://tradingeconomics.com/jamaica/rating" TargetMode="External"/><Relationship Id="rId110" Type="http://schemas.openxmlformats.org/officeDocument/2006/relationships/hyperlink" Target="https://tradingeconomics.com/nicaragua/rating" TargetMode="External"/><Relationship Id="rId131" Type="http://schemas.openxmlformats.org/officeDocument/2006/relationships/hyperlink" Target="https://tradingeconomics.com/senegal/rating" TargetMode="External"/><Relationship Id="rId152" Type="http://schemas.openxmlformats.org/officeDocument/2006/relationships/hyperlink" Target="https://tradingeconomics.com/ukraine/rating" TargetMode="External"/><Relationship Id="rId173" Type="http://schemas.openxmlformats.org/officeDocument/2006/relationships/hyperlink" Target="https://www.theglobaleconomy.com/Bosnia-and-Herzegovina/credit_rating/" TargetMode="External"/><Relationship Id="rId194" Type="http://schemas.openxmlformats.org/officeDocument/2006/relationships/hyperlink" Target="https://www.theglobaleconomy.com/Ecuador/credit_rating/" TargetMode="External"/><Relationship Id="rId208" Type="http://schemas.openxmlformats.org/officeDocument/2006/relationships/hyperlink" Target="https://www.theglobaleconomy.com/Grenada/credit_rating/" TargetMode="External"/><Relationship Id="rId229" Type="http://schemas.openxmlformats.org/officeDocument/2006/relationships/hyperlink" Target="https://www.theglobaleconomy.com/Kyrgyzstan/credit_rating/" TargetMode="External"/><Relationship Id="rId240" Type="http://schemas.openxmlformats.org/officeDocument/2006/relationships/hyperlink" Target="https://www.theglobaleconomy.com/Malawi/credit_rating/" TargetMode="External"/><Relationship Id="rId261" Type="http://schemas.openxmlformats.org/officeDocument/2006/relationships/hyperlink" Target="https://www.theglobaleconomy.com/Norway/credit_rating/" TargetMode="External"/><Relationship Id="rId14" Type="http://schemas.openxmlformats.org/officeDocument/2006/relationships/hyperlink" Target="https://tradingeconomics.com/finland/rating" TargetMode="External"/><Relationship Id="rId35" Type="http://schemas.openxmlformats.org/officeDocument/2006/relationships/hyperlink" Target="https://tradingeconomics.com/slovenia/rating" TargetMode="External"/><Relationship Id="rId56" Type="http://schemas.openxmlformats.org/officeDocument/2006/relationships/hyperlink" Target="https://tradingeconomics.com/uruguay/rating" TargetMode="External"/><Relationship Id="rId77" Type="http://schemas.openxmlformats.org/officeDocument/2006/relationships/hyperlink" Target="https://tradingeconomics.com/brazil/rating" TargetMode="External"/><Relationship Id="rId100" Type="http://schemas.openxmlformats.org/officeDocument/2006/relationships/hyperlink" Target="https://tradingeconomics.com/turkmenistan/rating" TargetMode="External"/><Relationship Id="rId282" Type="http://schemas.openxmlformats.org/officeDocument/2006/relationships/hyperlink" Target="https://www.theglobaleconomy.com/Seychelles/credit_rating/" TargetMode="External"/><Relationship Id="rId8" Type="http://schemas.openxmlformats.org/officeDocument/2006/relationships/hyperlink" Target="https://tradingeconomics.com/switzerland/rating" TargetMode="External"/><Relationship Id="rId98" Type="http://schemas.openxmlformats.org/officeDocument/2006/relationships/hyperlink" Target="https://tradingeconomics.com/mongolia/rating" TargetMode="External"/><Relationship Id="rId121" Type="http://schemas.openxmlformats.org/officeDocument/2006/relationships/hyperlink" Target="https://tradingeconomics.com/madagascar/rating" TargetMode="External"/><Relationship Id="rId142" Type="http://schemas.openxmlformats.org/officeDocument/2006/relationships/hyperlink" Target="https://tradingeconomics.com/laos/rating" TargetMode="External"/><Relationship Id="rId163" Type="http://schemas.openxmlformats.org/officeDocument/2006/relationships/hyperlink" Target="https://www.theglobaleconomy.com/Bahamas/credit_rating/" TargetMode="External"/><Relationship Id="rId184" Type="http://schemas.openxmlformats.org/officeDocument/2006/relationships/hyperlink" Target="https://www.theglobaleconomy.com/China/credit_rating/" TargetMode="External"/><Relationship Id="rId219" Type="http://schemas.openxmlformats.org/officeDocument/2006/relationships/hyperlink" Target="https://www.theglobaleconomy.com/Ireland/credit_rating/" TargetMode="External"/><Relationship Id="rId230" Type="http://schemas.openxmlformats.org/officeDocument/2006/relationships/hyperlink" Target="https://www.theglobaleconomy.com/Laos/credit_rating/" TargetMode="External"/><Relationship Id="rId251" Type="http://schemas.openxmlformats.org/officeDocument/2006/relationships/hyperlink" Target="https://www.theglobaleconomy.com/Morocco/credit_rating/" TargetMode="External"/><Relationship Id="rId25" Type="http://schemas.openxmlformats.org/officeDocument/2006/relationships/hyperlink" Target="https://tradingeconomics.com/united-kingdom/rating" TargetMode="External"/><Relationship Id="rId46" Type="http://schemas.openxmlformats.org/officeDocument/2006/relationships/hyperlink" Target="https://tradingeconomics.com/cyprus/rating" TargetMode="External"/><Relationship Id="rId67" Type="http://schemas.openxmlformats.org/officeDocument/2006/relationships/hyperlink" Target="https://tradingeconomics.com/romania/rating" TargetMode="External"/><Relationship Id="rId272" Type="http://schemas.openxmlformats.org/officeDocument/2006/relationships/hyperlink" Target="https://www.theglobaleconomy.com/Qatar/credit_rating/" TargetMode="External"/><Relationship Id="rId293" Type="http://schemas.openxmlformats.org/officeDocument/2006/relationships/hyperlink" Target="https://www.theglobaleconomy.com/Sweden/credit_rating/" TargetMode="External"/><Relationship Id="rId307" Type="http://schemas.openxmlformats.org/officeDocument/2006/relationships/hyperlink" Target="https://www.theglobaleconomy.com/United-Kingdom/credit_rating/" TargetMode="External"/><Relationship Id="rId88" Type="http://schemas.openxmlformats.org/officeDocument/2006/relationships/hyperlink" Target="https://tradingeconomics.com/seychelles/rating" TargetMode="External"/><Relationship Id="rId111" Type="http://schemas.openxmlformats.org/officeDocument/2006/relationships/hyperlink" Target="https://tradingeconomics.com/zambia/rating" TargetMode="External"/><Relationship Id="rId132" Type="http://schemas.openxmlformats.org/officeDocument/2006/relationships/hyperlink" Target="https://tradingeconomics.com/gabon/rating" TargetMode="External"/><Relationship Id="rId153" Type="http://schemas.openxmlformats.org/officeDocument/2006/relationships/hyperlink" Target="https://tradingeconomics.com/venezuela/rating" TargetMode="External"/><Relationship Id="rId174" Type="http://schemas.openxmlformats.org/officeDocument/2006/relationships/hyperlink" Target="https://www.theglobaleconomy.com/Botswana/credit_rating/" TargetMode="External"/><Relationship Id="rId195" Type="http://schemas.openxmlformats.org/officeDocument/2006/relationships/hyperlink" Target="https://www.theglobaleconomy.com/Egypt/credit_rating/" TargetMode="External"/><Relationship Id="rId209" Type="http://schemas.openxmlformats.org/officeDocument/2006/relationships/hyperlink" Target="https://www.theglobaleconomy.com/Guatemala/credit_rating/" TargetMode="External"/><Relationship Id="rId220" Type="http://schemas.openxmlformats.org/officeDocument/2006/relationships/hyperlink" Target="https://www.theglobaleconomy.com/Israel/credit_rating/" TargetMode="External"/><Relationship Id="rId241" Type="http://schemas.openxmlformats.org/officeDocument/2006/relationships/hyperlink" Target="https://www.theglobaleconomy.com/Malaysia/credit_rating/" TargetMode="External"/><Relationship Id="rId15" Type="http://schemas.openxmlformats.org/officeDocument/2006/relationships/hyperlink" Target="https://tradingeconomics.com/new-zealand/rating" TargetMode="External"/><Relationship Id="rId36" Type="http://schemas.openxmlformats.org/officeDocument/2006/relationships/hyperlink" Target="https://tradingeconomics.com/bermuda/rating" TargetMode="External"/><Relationship Id="rId57" Type="http://schemas.openxmlformats.org/officeDocument/2006/relationships/hyperlink" Target="https://tradingeconomics.com/indonesia/rating" TargetMode="External"/><Relationship Id="rId262" Type="http://schemas.openxmlformats.org/officeDocument/2006/relationships/hyperlink" Target="https://www.theglobaleconomy.com/Oman/credit_rating/" TargetMode="External"/><Relationship Id="rId283" Type="http://schemas.openxmlformats.org/officeDocument/2006/relationships/hyperlink" Target="https://www.theglobaleconomy.com/Singapore/credit_rating/" TargetMode="External"/><Relationship Id="rId78" Type="http://schemas.openxmlformats.org/officeDocument/2006/relationships/hyperlink" Target="https://tradingeconomics.com/vietnam/rating" TargetMode="External"/><Relationship Id="rId99" Type="http://schemas.openxmlformats.org/officeDocument/2006/relationships/hyperlink" Target="https://tradingeconomics.com/montenegro/rating" TargetMode="External"/><Relationship Id="rId101" Type="http://schemas.openxmlformats.org/officeDocument/2006/relationships/hyperlink" Target="https://tradingeconomics.com/bahrain/rating" TargetMode="External"/><Relationship Id="rId122" Type="http://schemas.openxmlformats.org/officeDocument/2006/relationships/hyperlink" Target="https://tradingeconomics.com/solomon-islands/rating" TargetMode="External"/><Relationship Id="rId143" Type="http://schemas.openxmlformats.org/officeDocument/2006/relationships/hyperlink" Target="https://tradingeconomics.com/sri-lanka/rating" TargetMode="External"/><Relationship Id="rId164" Type="http://schemas.openxmlformats.org/officeDocument/2006/relationships/hyperlink" Target="https://www.theglobaleconomy.com/Bahrain/credit_rating/" TargetMode="External"/><Relationship Id="rId185" Type="http://schemas.openxmlformats.org/officeDocument/2006/relationships/hyperlink" Target="https://www.theglobaleconomy.com/Colombia/credit_rating/" TargetMode="External"/><Relationship Id="rId9" Type="http://schemas.openxmlformats.org/officeDocument/2006/relationships/hyperlink" Target="https://tradingeconomics.com/norway/rating" TargetMode="External"/><Relationship Id="rId210" Type="http://schemas.openxmlformats.org/officeDocument/2006/relationships/hyperlink" Target="https://www.theglobaleconomy.com/Guinea/credit_rating/" TargetMode="External"/><Relationship Id="rId26" Type="http://schemas.openxmlformats.org/officeDocument/2006/relationships/hyperlink" Target="https://tradingeconomics.com/south-korea/rating" TargetMode="External"/><Relationship Id="rId231" Type="http://schemas.openxmlformats.org/officeDocument/2006/relationships/hyperlink" Target="https://www.theglobaleconomy.com/Latvia/credit_rating/" TargetMode="External"/><Relationship Id="rId252" Type="http://schemas.openxmlformats.org/officeDocument/2006/relationships/hyperlink" Target="https://www.theglobaleconomy.com/Mozambique/credit_rating/" TargetMode="External"/><Relationship Id="rId273" Type="http://schemas.openxmlformats.org/officeDocument/2006/relationships/hyperlink" Target="https://www.theglobaleconomy.com/Republic-of-the-Congo/credit_rating/" TargetMode="External"/><Relationship Id="rId294" Type="http://schemas.openxmlformats.org/officeDocument/2006/relationships/hyperlink" Target="https://www.theglobaleconomy.com/Switzerland/credit_rating/" TargetMode="External"/><Relationship Id="rId308" Type="http://schemas.openxmlformats.org/officeDocument/2006/relationships/hyperlink" Target="https://www.theglobaleconomy.com/Uruguay/credit_rating/" TargetMode="External"/><Relationship Id="rId47" Type="http://schemas.openxmlformats.org/officeDocument/2006/relationships/hyperlink" Target="https://tradingeconomics.com/israel/rating" TargetMode="External"/><Relationship Id="rId68" Type="http://schemas.openxmlformats.org/officeDocument/2006/relationships/hyperlink" Target="https://tradingeconomics.com/azerbaijan/rating" TargetMode="External"/><Relationship Id="rId89" Type="http://schemas.openxmlformats.org/officeDocument/2006/relationships/hyperlink" Target="https://tradingeconomics.com/armenia/rating" TargetMode="External"/><Relationship Id="rId112" Type="http://schemas.openxmlformats.org/officeDocument/2006/relationships/hyperlink" Target="https://tradingeconomics.com/bosnia-and-herzegovina/rating" TargetMode="External"/><Relationship Id="rId133" Type="http://schemas.openxmlformats.org/officeDocument/2006/relationships/hyperlink" Target="https://tradingeconomics.com/ghana/rating" TargetMode="External"/><Relationship Id="rId154" Type="http://schemas.openxmlformats.org/officeDocument/2006/relationships/hyperlink" Target="https://www.theglobaleconomy.com/Albania/credit_rating/" TargetMode="External"/><Relationship Id="rId175" Type="http://schemas.openxmlformats.org/officeDocument/2006/relationships/hyperlink" Target="https://www.theglobaleconomy.com/Brazil/credit_rating/" TargetMode="External"/><Relationship Id="rId196" Type="http://schemas.openxmlformats.org/officeDocument/2006/relationships/hyperlink" Target="https://www.theglobaleconomy.com/El-Salvador/credit_rating/" TargetMode="External"/><Relationship Id="rId200" Type="http://schemas.openxmlformats.org/officeDocument/2006/relationships/hyperlink" Target="https://www.theglobaleconomy.com/Finland/credit_rating/" TargetMode="External"/><Relationship Id="rId16" Type="http://schemas.openxmlformats.org/officeDocument/2006/relationships/hyperlink" Target="https://tradingeconomics.com/austria/rating" TargetMode="External"/><Relationship Id="rId221" Type="http://schemas.openxmlformats.org/officeDocument/2006/relationships/hyperlink" Target="https://www.theglobaleconomy.com/Italy/credit_rating/" TargetMode="External"/><Relationship Id="rId242" Type="http://schemas.openxmlformats.org/officeDocument/2006/relationships/hyperlink" Target="https://www.theglobaleconomy.com/Maldives/credit_rating/" TargetMode="External"/><Relationship Id="rId263" Type="http://schemas.openxmlformats.org/officeDocument/2006/relationships/hyperlink" Target="https://www.theglobaleconomy.com/Pakistan/credit_rating/" TargetMode="External"/><Relationship Id="rId284" Type="http://schemas.openxmlformats.org/officeDocument/2006/relationships/hyperlink" Target="https://www.theglobaleconomy.com/Slovakia/credit_rating/" TargetMode="External"/><Relationship Id="rId37" Type="http://schemas.openxmlformats.org/officeDocument/2006/relationships/hyperlink" Target="https://tradingeconomics.com/japan/rating" TargetMode="External"/><Relationship Id="rId58" Type="http://schemas.openxmlformats.org/officeDocument/2006/relationships/hyperlink" Target="https://tradingeconomics.com/kazakhstan/rating" TargetMode="External"/><Relationship Id="rId79" Type="http://schemas.openxmlformats.org/officeDocument/2006/relationships/hyperlink" Target="https://tradingeconomics.com/georgia/rating" TargetMode="External"/><Relationship Id="rId102" Type="http://schemas.openxmlformats.org/officeDocument/2006/relationships/hyperlink" Target="https://tradingeconomics.com/rwanda/rating" TargetMode="External"/><Relationship Id="rId123" Type="http://schemas.openxmlformats.org/officeDocument/2006/relationships/hyperlink" Target="https://tradingeconomics.com/st-vincent-and-the-grenadines/rating" TargetMode="External"/><Relationship Id="rId144" Type="http://schemas.openxmlformats.org/officeDocument/2006/relationships/hyperlink" Target="https://tradingeconomics.com/suriname/rating" TargetMode="External"/><Relationship Id="rId90" Type="http://schemas.openxmlformats.org/officeDocument/2006/relationships/hyperlink" Target="https://tradingeconomics.com/jordan/rating" TargetMode="External"/><Relationship Id="rId165" Type="http://schemas.openxmlformats.org/officeDocument/2006/relationships/hyperlink" Target="https://www.theglobaleconomy.com/Bangladesh/credit_rating/" TargetMode="External"/><Relationship Id="rId186" Type="http://schemas.openxmlformats.org/officeDocument/2006/relationships/hyperlink" Target="https://www.theglobaleconomy.com/Costa-Rica/credit_rating/" TargetMode="External"/><Relationship Id="rId211" Type="http://schemas.openxmlformats.org/officeDocument/2006/relationships/hyperlink" Target="https://www.theglobaleconomy.com/Honduras/credit_rating/" TargetMode="External"/><Relationship Id="rId232" Type="http://schemas.openxmlformats.org/officeDocument/2006/relationships/hyperlink" Target="https://www.theglobaleconomy.com/Lebanon/credit_rating/" TargetMode="External"/><Relationship Id="rId253" Type="http://schemas.openxmlformats.org/officeDocument/2006/relationships/hyperlink" Target="https://www.theglobaleconomy.com/Namibia/credit_rating/" TargetMode="External"/><Relationship Id="rId274" Type="http://schemas.openxmlformats.org/officeDocument/2006/relationships/hyperlink" Target="https://www.theglobaleconomy.com/Romania/credit_rating/" TargetMode="External"/><Relationship Id="rId295" Type="http://schemas.openxmlformats.org/officeDocument/2006/relationships/hyperlink" Target="https://www.theglobaleconomy.com/Taiwan/credit_rating/" TargetMode="External"/><Relationship Id="rId309" Type="http://schemas.openxmlformats.org/officeDocument/2006/relationships/hyperlink" Target="https://www.theglobaleconomy.com/USA/credit_rating/" TargetMode="External"/><Relationship Id="rId27" Type="http://schemas.openxmlformats.org/officeDocument/2006/relationships/hyperlink" Target="https://tradingeconomics.com/cayman-islands/rating" TargetMode="External"/><Relationship Id="rId48" Type="http://schemas.openxmlformats.org/officeDocument/2006/relationships/hyperlink" Target="https://tradingeconomics.com/croatia/rating" TargetMode="External"/><Relationship Id="rId69" Type="http://schemas.openxmlformats.org/officeDocument/2006/relationships/hyperlink" Target="https://tradingeconomics.com/oman/rating" TargetMode="External"/><Relationship Id="rId113" Type="http://schemas.openxmlformats.org/officeDocument/2006/relationships/hyperlink" Target="https://tradingeconomics.com/papua-new-guinea/rating" TargetMode="External"/><Relationship Id="rId134" Type="http://schemas.openxmlformats.org/officeDocument/2006/relationships/hyperlink" Target="https://tradingeconomics.com/pakistan/rating" TargetMode="External"/><Relationship Id="rId80" Type="http://schemas.openxmlformats.org/officeDocument/2006/relationships/hyperlink" Target="https://tradingeconomics.com/macedonia/rating" TargetMode="External"/><Relationship Id="rId155" Type="http://schemas.openxmlformats.org/officeDocument/2006/relationships/hyperlink" Target="https://www.theglobaleconomy.com/Andorra/credit_rating/" TargetMode="External"/><Relationship Id="rId176" Type="http://schemas.openxmlformats.org/officeDocument/2006/relationships/hyperlink" Target="https://www.theglobaleconomy.com/Bulgaria/credit_rating/" TargetMode="External"/><Relationship Id="rId197" Type="http://schemas.openxmlformats.org/officeDocument/2006/relationships/hyperlink" Target="https://www.theglobaleconomy.com/Estonia/credit_rating/" TargetMode="External"/><Relationship Id="rId201" Type="http://schemas.openxmlformats.org/officeDocument/2006/relationships/hyperlink" Target="https://www.theglobaleconomy.com/France/credit_rating/" TargetMode="External"/><Relationship Id="rId222" Type="http://schemas.openxmlformats.org/officeDocument/2006/relationships/hyperlink" Target="https://www.theglobaleconomy.com/Ivory-Coast/credit_rating/" TargetMode="External"/><Relationship Id="rId243" Type="http://schemas.openxmlformats.org/officeDocument/2006/relationships/hyperlink" Target="https://www.theglobaleconomy.com/Mali/credit_rating/" TargetMode="External"/><Relationship Id="rId264" Type="http://schemas.openxmlformats.org/officeDocument/2006/relationships/hyperlink" Target="https://www.theglobaleconomy.com/Panama/credit_rating/" TargetMode="External"/><Relationship Id="rId285" Type="http://schemas.openxmlformats.org/officeDocument/2006/relationships/hyperlink" Target="https://www.theglobaleconomy.com/Slovenia/credit_rating/" TargetMode="External"/><Relationship Id="rId17" Type="http://schemas.openxmlformats.org/officeDocument/2006/relationships/hyperlink" Target="https://tradingeconomics.com/taiwan/rating" TargetMode="External"/><Relationship Id="rId38" Type="http://schemas.openxmlformats.org/officeDocument/2006/relationships/hyperlink" Target="https://tradingeconomics.com/lithuania/rating" TargetMode="External"/><Relationship Id="rId59" Type="http://schemas.openxmlformats.org/officeDocument/2006/relationships/hyperlink" Target="https://tradingeconomics.com/peru/rating" TargetMode="External"/><Relationship Id="rId103" Type="http://schemas.openxmlformats.org/officeDocument/2006/relationships/hyperlink" Target="https://tradingeconomics.com/tanzania/rating" TargetMode="External"/><Relationship Id="rId124" Type="http://schemas.openxmlformats.org/officeDocument/2006/relationships/hyperlink" Target="https://tradingeconomics.com/swaziland/rating" TargetMode="External"/><Relationship Id="rId310" Type="http://schemas.openxmlformats.org/officeDocument/2006/relationships/hyperlink" Target="https://www.theglobaleconomy.com/Uzbekistan/credit_rating/" TargetMode="External"/><Relationship Id="rId70" Type="http://schemas.openxmlformats.org/officeDocument/2006/relationships/hyperlink" Target="https://tradingeconomics.com/panama/rating" TargetMode="External"/><Relationship Id="rId91" Type="http://schemas.openxmlformats.org/officeDocument/2006/relationships/hyperlink" Target="https://tradingeconomics.com/turkey/rating" TargetMode="External"/><Relationship Id="rId145" Type="http://schemas.openxmlformats.org/officeDocument/2006/relationships/hyperlink" Target="https://tradingeconomics.com/bolivia/rating" TargetMode="External"/><Relationship Id="rId166" Type="http://schemas.openxmlformats.org/officeDocument/2006/relationships/hyperlink" Target="https://www.theglobaleconomy.com/Barbados/credit_rating/" TargetMode="External"/><Relationship Id="rId187" Type="http://schemas.openxmlformats.org/officeDocument/2006/relationships/hyperlink" Target="https://www.theglobaleconomy.com/Croatia/credit_rating/" TargetMode="External"/><Relationship Id="rId1" Type="http://schemas.openxmlformats.org/officeDocument/2006/relationships/hyperlink" Target="https://tradingeconomics.com/australia/rating" TargetMode="External"/><Relationship Id="rId212" Type="http://schemas.openxmlformats.org/officeDocument/2006/relationships/hyperlink" Target="https://www.theglobaleconomy.com/Hong-Kong/credit_rating/" TargetMode="External"/><Relationship Id="rId233" Type="http://schemas.openxmlformats.org/officeDocument/2006/relationships/hyperlink" Target="https://www.theglobaleconomy.com/Lesotho/credit_rating/" TargetMode="External"/><Relationship Id="rId254" Type="http://schemas.openxmlformats.org/officeDocument/2006/relationships/hyperlink" Target="https://www.theglobaleconomy.com/Nepal/credit_rating/" TargetMode="External"/><Relationship Id="rId28" Type="http://schemas.openxmlformats.org/officeDocument/2006/relationships/hyperlink" Target="https://tradingeconomics.com/czech-republic/rating" TargetMode="External"/><Relationship Id="rId49" Type="http://schemas.openxmlformats.org/officeDocument/2006/relationships/hyperlink" Target="https://tradingeconomics.com/andorra/rating" TargetMode="External"/><Relationship Id="rId114" Type="http://schemas.openxmlformats.org/officeDocument/2006/relationships/hyperlink" Target="https://tradingeconomics.com/tajikistan/rating" TargetMode="External"/><Relationship Id="rId275" Type="http://schemas.openxmlformats.org/officeDocument/2006/relationships/hyperlink" Target="https://www.theglobaleconomy.com/Russia/credit_rating/" TargetMode="External"/><Relationship Id="rId296" Type="http://schemas.openxmlformats.org/officeDocument/2006/relationships/hyperlink" Target="https://www.theglobaleconomy.com/Tajikistan/credit_rating/" TargetMode="External"/><Relationship Id="rId300" Type="http://schemas.openxmlformats.org/officeDocument/2006/relationships/hyperlink" Target="https://www.theglobaleconomy.com/Trinidad-and-Tobago/credit_rating/" TargetMode="External"/><Relationship Id="rId60" Type="http://schemas.openxmlformats.org/officeDocument/2006/relationships/hyperlink" Target="https://tradingeconomics.com/hungary/rating" TargetMode="External"/><Relationship Id="rId81" Type="http://schemas.openxmlformats.org/officeDocument/2006/relationships/hyperlink" Target="https://tradingeconomics.com/costa-rica/rating" TargetMode="External"/><Relationship Id="rId135" Type="http://schemas.openxmlformats.org/officeDocument/2006/relationships/hyperlink" Target="https://tradingeconomics.com/belize/rating" TargetMode="External"/><Relationship Id="rId156" Type="http://schemas.openxmlformats.org/officeDocument/2006/relationships/hyperlink" Target="https://www.theglobaleconomy.com/Angola/credit_rating/" TargetMode="External"/><Relationship Id="rId177" Type="http://schemas.openxmlformats.org/officeDocument/2006/relationships/hyperlink" Target="https://www.theglobaleconomy.com/Burkina-Faso/credit_rating/" TargetMode="External"/><Relationship Id="rId198" Type="http://schemas.openxmlformats.org/officeDocument/2006/relationships/hyperlink" Target="https://www.theglobaleconomy.com/Ethiopia/credit_rating/" TargetMode="External"/><Relationship Id="rId202" Type="http://schemas.openxmlformats.org/officeDocument/2006/relationships/hyperlink" Target="https://www.theglobaleconomy.com/Gabon/credit_rating/" TargetMode="External"/><Relationship Id="rId223" Type="http://schemas.openxmlformats.org/officeDocument/2006/relationships/hyperlink" Target="https://www.theglobaleconomy.com/Jamaica/credit_rating/" TargetMode="External"/><Relationship Id="rId244" Type="http://schemas.openxmlformats.org/officeDocument/2006/relationships/hyperlink" Target="https://www.theglobaleconomy.com/Malta/credit_rating/" TargetMode="External"/><Relationship Id="rId18" Type="http://schemas.openxmlformats.org/officeDocument/2006/relationships/hyperlink" Target="https://tradingeconomics.com/united-arab-emirates/rating" TargetMode="External"/><Relationship Id="rId39" Type="http://schemas.openxmlformats.org/officeDocument/2006/relationships/hyperlink" Target="https://tradingeconomics.com/malta/rating" TargetMode="External"/><Relationship Id="rId265" Type="http://schemas.openxmlformats.org/officeDocument/2006/relationships/hyperlink" Target="https://www.theglobaleconomy.com/Papua-New-Guinea/credit_rating/" TargetMode="External"/><Relationship Id="rId286" Type="http://schemas.openxmlformats.org/officeDocument/2006/relationships/hyperlink" Target="https://www.theglobaleconomy.com/Solomon-Islands/credit_rating/" TargetMode="External"/><Relationship Id="rId50" Type="http://schemas.openxmlformats.org/officeDocument/2006/relationships/hyperlink" Target="https://tradingeconomics.com/malaysia/rating" TargetMode="External"/><Relationship Id="rId104" Type="http://schemas.openxmlformats.org/officeDocument/2006/relationships/hyperlink" Target="https://tradingeconomics.com/barbados/rating" TargetMode="External"/><Relationship Id="rId125" Type="http://schemas.openxmlformats.org/officeDocument/2006/relationships/hyperlink" Target="https://tradingeconomics.com/cameroon/rating" TargetMode="External"/><Relationship Id="rId146" Type="http://schemas.openxmlformats.org/officeDocument/2006/relationships/hyperlink" Target="https://tradingeconomics.com/ethiopia/rating" TargetMode="External"/><Relationship Id="rId167" Type="http://schemas.openxmlformats.org/officeDocument/2006/relationships/hyperlink" Target="https://www.theglobaleconomy.com/Belarus/credit_rating/" TargetMode="External"/><Relationship Id="rId188" Type="http://schemas.openxmlformats.org/officeDocument/2006/relationships/hyperlink" Target="https://www.theglobaleconomy.com/Cuba/credit_rating/" TargetMode="External"/><Relationship Id="rId311" Type="http://schemas.openxmlformats.org/officeDocument/2006/relationships/hyperlink" Target="https://www.theglobaleconomy.com/Venezuela/credit_rating/" TargetMode="External"/><Relationship Id="rId71" Type="http://schemas.openxmlformats.org/officeDocument/2006/relationships/hyperlink" Target="https://tradingeconomics.com/colombia/rating" TargetMode="External"/><Relationship Id="rId92" Type="http://schemas.openxmlformats.org/officeDocument/2006/relationships/hyperlink" Target="https://tradingeconomics.com/honduras/rating" TargetMode="External"/><Relationship Id="rId213" Type="http://schemas.openxmlformats.org/officeDocument/2006/relationships/hyperlink" Target="https://www.theglobaleconomy.com/Hungary/credit_rating/" TargetMode="External"/><Relationship Id="rId234" Type="http://schemas.openxmlformats.org/officeDocument/2006/relationships/hyperlink" Target="https://www.theglobaleconomy.com/Libya/credit_rating/" TargetMode="External"/><Relationship Id="rId2" Type="http://schemas.openxmlformats.org/officeDocument/2006/relationships/hyperlink" Target="https://tradingeconomics.com/canada/rating" TargetMode="External"/><Relationship Id="rId29" Type="http://schemas.openxmlformats.org/officeDocument/2006/relationships/hyperlink" Target="https://tradingeconomics.com/france/rating" TargetMode="External"/><Relationship Id="rId255" Type="http://schemas.openxmlformats.org/officeDocument/2006/relationships/hyperlink" Target="https://www.theglobaleconomy.com/Netherlands/credit_rating/" TargetMode="External"/><Relationship Id="rId276" Type="http://schemas.openxmlformats.org/officeDocument/2006/relationships/hyperlink" Target="https://www.theglobaleconomy.com/Rwanda/credit_rating/" TargetMode="External"/><Relationship Id="rId297" Type="http://schemas.openxmlformats.org/officeDocument/2006/relationships/hyperlink" Target="https://www.theglobaleconomy.com/Tanzania/credit_rating/" TargetMode="External"/><Relationship Id="rId40" Type="http://schemas.openxmlformats.org/officeDocument/2006/relationships/hyperlink" Target="https://tradingeconomics.com/chile/rating" TargetMode="External"/><Relationship Id="rId115" Type="http://schemas.openxmlformats.org/officeDocument/2006/relationships/hyperlink" Target="https://tradingeconomics.com/togo/rating" TargetMode="External"/><Relationship Id="rId136" Type="http://schemas.openxmlformats.org/officeDocument/2006/relationships/hyperlink" Target="https://tradingeconomics.com/burkina-faso/rating" TargetMode="External"/><Relationship Id="rId157" Type="http://schemas.openxmlformats.org/officeDocument/2006/relationships/hyperlink" Target="https://www.theglobaleconomy.com/Argentina/credit_rating/" TargetMode="External"/><Relationship Id="rId178" Type="http://schemas.openxmlformats.org/officeDocument/2006/relationships/hyperlink" Target="https://www.theglobaleconomy.com/Cambodia/credit_rating/" TargetMode="External"/><Relationship Id="rId301" Type="http://schemas.openxmlformats.org/officeDocument/2006/relationships/hyperlink" Target="https://www.theglobaleconomy.com/Tunisia/credit_rating/" TargetMode="External"/><Relationship Id="rId61" Type="http://schemas.openxmlformats.org/officeDocument/2006/relationships/hyperlink" Target="https://tradingeconomics.com/mexico/rating" TargetMode="External"/><Relationship Id="rId82" Type="http://schemas.openxmlformats.org/officeDocument/2006/relationships/hyperlink" Target="https://tradingeconomics.com/ivory-coast/rating" TargetMode="External"/><Relationship Id="rId199" Type="http://schemas.openxmlformats.org/officeDocument/2006/relationships/hyperlink" Target="https://www.theglobaleconomy.com/Fiji/credit_rating/" TargetMode="External"/><Relationship Id="rId203" Type="http://schemas.openxmlformats.org/officeDocument/2006/relationships/hyperlink" Target="https://www.theglobaleconomy.com/Gambia/credit_rating/" TargetMode="External"/><Relationship Id="rId19" Type="http://schemas.openxmlformats.org/officeDocument/2006/relationships/hyperlink" Target="https://tradingeconomics.com/hong-kong/rating" TargetMode="External"/><Relationship Id="rId224" Type="http://schemas.openxmlformats.org/officeDocument/2006/relationships/hyperlink" Target="https://www.theglobaleconomy.com/Japan/credit_rating/" TargetMode="External"/><Relationship Id="rId245" Type="http://schemas.openxmlformats.org/officeDocument/2006/relationships/hyperlink" Target="https://www.theglobaleconomy.com/Mauritius/credit_rating/" TargetMode="External"/><Relationship Id="rId266" Type="http://schemas.openxmlformats.org/officeDocument/2006/relationships/hyperlink" Target="https://www.theglobaleconomy.com/Paraguay/credit_rating/" TargetMode="External"/><Relationship Id="rId287" Type="http://schemas.openxmlformats.org/officeDocument/2006/relationships/hyperlink" Target="https://www.theglobaleconomy.com/South-Africa/credit_rating/" TargetMode="External"/><Relationship Id="rId30" Type="http://schemas.openxmlformats.org/officeDocument/2006/relationships/hyperlink" Target="https://tradingeconomics.com/kuwait/rating" TargetMode="External"/><Relationship Id="rId105" Type="http://schemas.openxmlformats.org/officeDocument/2006/relationships/hyperlink" Target="https://tradingeconomics.com/cambodia/rating" TargetMode="External"/><Relationship Id="rId126" Type="http://schemas.openxmlformats.org/officeDocument/2006/relationships/hyperlink" Target="https://tradingeconomics.com/el-salvador/rating" TargetMode="External"/><Relationship Id="rId147" Type="http://schemas.openxmlformats.org/officeDocument/2006/relationships/hyperlink" Target="https://tradingeconomics.com/mali/rating" TargetMode="External"/><Relationship Id="rId168" Type="http://schemas.openxmlformats.org/officeDocument/2006/relationships/hyperlink" Target="https://www.theglobaleconomy.com/Belgium/credit_rating/" TargetMode="External"/><Relationship Id="rId312" Type="http://schemas.openxmlformats.org/officeDocument/2006/relationships/hyperlink" Target="https://www.theglobaleconomy.com/Vietnam/credit_rating/" TargetMode="External"/><Relationship Id="rId51" Type="http://schemas.openxmlformats.org/officeDocument/2006/relationships/hyperlink" Target="https://tradingeconomics.com/botswana/rating" TargetMode="External"/><Relationship Id="rId72" Type="http://schemas.openxmlformats.org/officeDocument/2006/relationships/hyperlink" Target="https://tradingeconomics.com/paraguay/rating" TargetMode="External"/><Relationship Id="rId93" Type="http://schemas.openxmlformats.org/officeDocument/2006/relationships/hyperlink" Target="https://tradingeconomics.com/namibia/rating" TargetMode="External"/><Relationship Id="rId189" Type="http://schemas.openxmlformats.org/officeDocument/2006/relationships/hyperlink" Target="https://www.theglobaleconomy.com/Cyprus/credit_rating/" TargetMode="External"/><Relationship Id="rId3" Type="http://schemas.openxmlformats.org/officeDocument/2006/relationships/hyperlink" Target="https://tradingeconomics.com/denmark/rating" TargetMode="External"/><Relationship Id="rId214" Type="http://schemas.openxmlformats.org/officeDocument/2006/relationships/hyperlink" Target="https://www.theglobaleconomy.com/Iceland/credit_rating/" TargetMode="External"/><Relationship Id="rId235" Type="http://schemas.openxmlformats.org/officeDocument/2006/relationships/hyperlink" Target="https://www.theglobaleconomy.com/Liechtenstein/credit_rating/" TargetMode="External"/><Relationship Id="rId256" Type="http://schemas.openxmlformats.org/officeDocument/2006/relationships/hyperlink" Target="https://www.theglobaleconomy.com/New-Zealand/credit_rating/" TargetMode="External"/><Relationship Id="rId277" Type="http://schemas.openxmlformats.org/officeDocument/2006/relationships/hyperlink" Target="https://www.theglobaleconomy.com/Saint-Vincent-and-the-Grenadines/credit_rating/" TargetMode="External"/><Relationship Id="rId298" Type="http://schemas.openxmlformats.org/officeDocument/2006/relationships/hyperlink" Target="https://www.theglobaleconomy.com/Thailand/credit_rating/" TargetMode="External"/><Relationship Id="rId116" Type="http://schemas.openxmlformats.org/officeDocument/2006/relationships/hyperlink" Target="https://tradingeconomics.com/nigeria/rating" TargetMode="External"/><Relationship Id="rId137" Type="http://schemas.openxmlformats.org/officeDocument/2006/relationships/hyperlink" Target="https://tradingeconomics.com/ecuador/rating" TargetMode="External"/><Relationship Id="rId158" Type="http://schemas.openxmlformats.org/officeDocument/2006/relationships/hyperlink" Target="https://www.theglobaleconomy.com/Armenia/credit_rating/" TargetMode="External"/><Relationship Id="rId302" Type="http://schemas.openxmlformats.org/officeDocument/2006/relationships/hyperlink" Target="https://www.theglobaleconomy.com/Turkey/credit_rating/" TargetMode="External"/><Relationship Id="rId20" Type="http://schemas.openxmlformats.org/officeDocument/2006/relationships/hyperlink" Target="https://tradingeconomics.com/ireland/rating" TargetMode="External"/><Relationship Id="rId41" Type="http://schemas.openxmlformats.org/officeDocument/2006/relationships/hyperlink" Target="https://tradingeconomics.com/portugal/rating" TargetMode="External"/><Relationship Id="rId62" Type="http://schemas.openxmlformats.org/officeDocument/2006/relationships/hyperlink" Target="https://tradingeconomics.com/san-marino/rating" TargetMode="External"/><Relationship Id="rId83" Type="http://schemas.openxmlformats.org/officeDocument/2006/relationships/hyperlink" Target="https://tradingeconomics.com/dominican-republic/rating" TargetMode="External"/><Relationship Id="rId179" Type="http://schemas.openxmlformats.org/officeDocument/2006/relationships/hyperlink" Target="https://www.theglobaleconomy.com/Cameroon/credit_rating/" TargetMode="External"/><Relationship Id="rId190" Type="http://schemas.openxmlformats.org/officeDocument/2006/relationships/hyperlink" Target="https://www.theglobaleconomy.com/Czech-Republic/credit_rating/" TargetMode="External"/><Relationship Id="rId204" Type="http://schemas.openxmlformats.org/officeDocument/2006/relationships/hyperlink" Target="https://www.theglobaleconomy.com/Georgia/credit_rating/" TargetMode="External"/><Relationship Id="rId225" Type="http://schemas.openxmlformats.org/officeDocument/2006/relationships/hyperlink" Target="https://www.theglobaleconomy.com/Jordan/credit_rating/" TargetMode="External"/><Relationship Id="rId246" Type="http://schemas.openxmlformats.org/officeDocument/2006/relationships/hyperlink" Target="https://www.theglobaleconomy.com/Mexico/credit_rating/" TargetMode="External"/><Relationship Id="rId267" Type="http://schemas.openxmlformats.org/officeDocument/2006/relationships/hyperlink" Target="https://www.theglobaleconomy.com/Peru/credit_rating/" TargetMode="External"/><Relationship Id="rId288" Type="http://schemas.openxmlformats.org/officeDocument/2006/relationships/hyperlink" Target="https://www.theglobaleconomy.com/South-Korea/credit_rating/" TargetMode="External"/><Relationship Id="rId106" Type="http://schemas.openxmlformats.org/officeDocument/2006/relationships/hyperlink" Target="https://tradingeconomics.com/cape-verde/rating" TargetMode="External"/><Relationship Id="rId127" Type="http://schemas.openxmlformats.org/officeDocument/2006/relationships/hyperlink" Target="https://tradingeconomics.com/iraq/rating" TargetMode="External"/><Relationship Id="rId313" Type="http://schemas.openxmlformats.org/officeDocument/2006/relationships/hyperlink" Target="https://www.theglobaleconomy.com/Zambia/credit_rating/" TargetMode="External"/><Relationship Id="rId10" Type="http://schemas.openxmlformats.org/officeDocument/2006/relationships/hyperlink" Target="https://tradingeconomics.com/sweden/rating" TargetMode="External"/><Relationship Id="rId31" Type="http://schemas.openxmlformats.org/officeDocument/2006/relationships/hyperlink" Target="https://tradingeconomics.com/estonia/rating" TargetMode="External"/><Relationship Id="rId52" Type="http://schemas.openxmlformats.org/officeDocument/2006/relationships/hyperlink" Target="https://tradingeconomics.com/italy/rating" TargetMode="External"/><Relationship Id="rId73" Type="http://schemas.openxmlformats.org/officeDocument/2006/relationships/hyperlink" Target="https://tradingeconomics.com/morocco/rating" TargetMode="External"/><Relationship Id="rId94" Type="http://schemas.openxmlformats.org/officeDocument/2006/relationships/hyperlink" Target="https://tradingeconomics.com/bahamas/rating" TargetMode="External"/><Relationship Id="rId148" Type="http://schemas.openxmlformats.org/officeDocument/2006/relationships/hyperlink" Target="https://tradingeconomics.com/niger/rating" TargetMode="External"/><Relationship Id="rId169" Type="http://schemas.openxmlformats.org/officeDocument/2006/relationships/hyperlink" Target="https://www.theglobaleconomy.com/Belize/credit_rating/" TargetMode="External"/><Relationship Id="rId4" Type="http://schemas.openxmlformats.org/officeDocument/2006/relationships/hyperlink" Target="https://tradingeconomics.com/germany/rating" TargetMode="External"/><Relationship Id="rId180" Type="http://schemas.openxmlformats.org/officeDocument/2006/relationships/hyperlink" Target="https://www.theglobaleconomy.com/Canada/credit_rating/" TargetMode="External"/><Relationship Id="rId215" Type="http://schemas.openxmlformats.org/officeDocument/2006/relationships/hyperlink" Target="https://www.theglobaleconomy.com/India/credit_rating/" TargetMode="External"/><Relationship Id="rId236" Type="http://schemas.openxmlformats.org/officeDocument/2006/relationships/hyperlink" Target="https://www.theglobaleconomy.com/Lithuania/credit_rating/" TargetMode="External"/><Relationship Id="rId257" Type="http://schemas.openxmlformats.org/officeDocument/2006/relationships/hyperlink" Target="https://www.theglobaleconomy.com/Nicaragua/credit_rating/" TargetMode="External"/><Relationship Id="rId278" Type="http://schemas.openxmlformats.org/officeDocument/2006/relationships/hyperlink" Target="https://www.theglobaleconomy.com/San-Marino/credit_rating/" TargetMode="External"/><Relationship Id="rId303" Type="http://schemas.openxmlformats.org/officeDocument/2006/relationships/hyperlink" Target="https://www.theglobaleconomy.com/Turkmenistan/credit_rating/" TargetMode="External"/><Relationship Id="rId42" Type="http://schemas.openxmlformats.org/officeDocument/2006/relationships/hyperlink" Target="https://tradingeconomics.com/slovakia/rating" TargetMode="External"/><Relationship Id="rId84" Type="http://schemas.openxmlformats.org/officeDocument/2006/relationships/hyperlink" Target="https://tradingeconomics.com/south-africa/rating" TargetMode="External"/><Relationship Id="rId138" Type="http://schemas.openxmlformats.org/officeDocument/2006/relationships/hyperlink" Target="https://tradingeconomics.com/maldives/rating" TargetMode="External"/><Relationship Id="rId191" Type="http://schemas.openxmlformats.org/officeDocument/2006/relationships/hyperlink" Target="https://www.theglobaleconomy.com/Democratic-Republic-of-the-Congo/credit_rating/" TargetMode="External"/><Relationship Id="rId205" Type="http://schemas.openxmlformats.org/officeDocument/2006/relationships/hyperlink" Target="https://www.theglobaleconomy.com/Germany/credit_rating/" TargetMode="External"/><Relationship Id="rId247" Type="http://schemas.openxmlformats.org/officeDocument/2006/relationships/hyperlink" Target="https://www.theglobaleconomy.com/Moldova/credit_rating/" TargetMode="External"/><Relationship Id="rId107" Type="http://schemas.openxmlformats.org/officeDocument/2006/relationships/hyperlink" Target="https://tradingeconomics.com/kyrgyzstan/rating" TargetMode="External"/><Relationship Id="rId289" Type="http://schemas.openxmlformats.org/officeDocument/2006/relationships/hyperlink" Target="https://www.theglobaleconomy.com/Spain/credit_rating/" TargetMode="External"/><Relationship Id="rId11" Type="http://schemas.openxmlformats.org/officeDocument/2006/relationships/hyperlink" Target="https://tradingeconomics.com/singapore/rating" TargetMode="External"/><Relationship Id="rId53" Type="http://schemas.openxmlformats.org/officeDocument/2006/relationships/hyperlink" Target="https://tradingeconomics.com/thailand/rating" TargetMode="External"/><Relationship Id="rId149" Type="http://schemas.openxmlformats.org/officeDocument/2006/relationships/hyperlink" Target="https://tradingeconomics.com/russia/rating" TargetMode="External"/><Relationship Id="rId95" Type="http://schemas.openxmlformats.org/officeDocument/2006/relationships/hyperlink" Target="https://tradingeconomics.com/benin/rating" TargetMode="External"/><Relationship Id="rId160" Type="http://schemas.openxmlformats.org/officeDocument/2006/relationships/hyperlink" Target="https://www.theglobaleconomy.com/Australia/credit_rating/" TargetMode="External"/><Relationship Id="rId216" Type="http://schemas.openxmlformats.org/officeDocument/2006/relationships/hyperlink" Target="https://www.theglobaleconomy.com/Indonesia/credit_rating/" TargetMode="External"/><Relationship Id="rId258" Type="http://schemas.openxmlformats.org/officeDocument/2006/relationships/hyperlink" Target="https://www.theglobaleconomy.com/Niger/credit_rating/" TargetMode="External"/><Relationship Id="rId22" Type="http://schemas.openxmlformats.org/officeDocument/2006/relationships/hyperlink" Target="https://tradingeconomics.com/belgium/rating" TargetMode="External"/><Relationship Id="rId64" Type="http://schemas.openxmlformats.org/officeDocument/2006/relationships/hyperlink" Target="https://tradingeconomics.com/greece/rating" TargetMode="External"/><Relationship Id="rId118" Type="http://schemas.openxmlformats.org/officeDocument/2006/relationships/hyperlink" Target="https://tradingeconomics.com/angola/rating" TargetMode="External"/><Relationship Id="rId171" Type="http://schemas.openxmlformats.org/officeDocument/2006/relationships/hyperlink" Target="https://www.theglobaleconomy.com/Bermuda/credit_rating/" TargetMode="External"/><Relationship Id="rId227" Type="http://schemas.openxmlformats.org/officeDocument/2006/relationships/hyperlink" Target="https://www.theglobaleconomy.com/Kenya/credit_rating/" TargetMode="External"/><Relationship Id="rId269" Type="http://schemas.openxmlformats.org/officeDocument/2006/relationships/hyperlink" Target="https://www.theglobaleconomy.com/Poland/credit_rating/" TargetMode="External"/><Relationship Id="rId33" Type="http://schemas.openxmlformats.org/officeDocument/2006/relationships/hyperlink" Target="https://tradingeconomics.com/china/rating" TargetMode="External"/><Relationship Id="rId129" Type="http://schemas.openxmlformats.org/officeDocument/2006/relationships/hyperlink" Target="https://tradingeconomics.com/tunisia/rating" TargetMode="External"/><Relationship Id="rId280" Type="http://schemas.openxmlformats.org/officeDocument/2006/relationships/hyperlink" Target="https://www.theglobaleconomy.com/Senegal/credit_rating/" TargetMode="External"/><Relationship Id="rId75" Type="http://schemas.openxmlformats.org/officeDocument/2006/relationships/hyperlink" Target="https://tradingeconomics.com/guatemala/rating" TargetMode="External"/><Relationship Id="rId140" Type="http://schemas.openxmlformats.org/officeDocument/2006/relationships/hyperlink" Target="https://tradingeconomics.com/republic-of-the-congo/rating" TargetMode="External"/><Relationship Id="rId182" Type="http://schemas.openxmlformats.org/officeDocument/2006/relationships/hyperlink" Target="https://www.theglobaleconomy.com/Chad/credit_rating/" TargetMode="External"/><Relationship Id="rId6" Type="http://schemas.openxmlformats.org/officeDocument/2006/relationships/hyperlink" Target="https://tradingeconomics.com/luxembourg/rating" TargetMode="External"/><Relationship Id="rId238" Type="http://schemas.openxmlformats.org/officeDocument/2006/relationships/hyperlink" Target="https://www.theglobaleconomy.com/Macao/credit_rating/" TargetMode="External"/><Relationship Id="rId291" Type="http://schemas.openxmlformats.org/officeDocument/2006/relationships/hyperlink" Target="https://www.theglobaleconomy.com/Suriname/credit_rating/" TargetMode="External"/><Relationship Id="rId305" Type="http://schemas.openxmlformats.org/officeDocument/2006/relationships/hyperlink" Target="https://www.theglobaleconomy.com/Ukraine/credit_rating/" TargetMode="External"/><Relationship Id="rId44" Type="http://schemas.openxmlformats.org/officeDocument/2006/relationships/hyperlink" Target="https://tradingeconomics.com/poland/rating" TargetMode="External"/><Relationship Id="rId86" Type="http://schemas.openxmlformats.org/officeDocument/2006/relationships/hyperlink" Target="https://tradingeconomics.com/albania/rating" TargetMode="External"/><Relationship Id="rId151" Type="http://schemas.openxmlformats.org/officeDocument/2006/relationships/hyperlink" Target="https://tradingeconomics.com/lebanon/rating"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https://finance.yahoo.com/quote/EMB/" TargetMode="External"/><Relationship Id="rId1" Type="http://schemas.openxmlformats.org/officeDocument/2006/relationships/hyperlink" Target="https://www.spglobal.com/spdji/en/indices/equity/sp-emerging-bmi/" TargetMode="Externa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2"/>
  <sheetViews>
    <sheetView workbookViewId="0">
      <selection activeCell="A13" sqref="A13"/>
    </sheetView>
  </sheetViews>
  <sheetFormatPr baseColWidth="10" defaultRowHeight="13"/>
  <cols>
    <col min="1" max="1" width="24.6640625" customWidth="1"/>
  </cols>
  <sheetData>
    <row r="1" spans="1:4" s="38" customFormat="1" ht="16">
      <c r="A1" s="32" t="s">
        <v>149</v>
      </c>
    </row>
    <row r="2" spans="1:4" s="38" customFormat="1" ht="16">
      <c r="A2" s="38" t="s">
        <v>150</v>
      </c>
    </row>
    <row r="3" spans="1:4" s="38" customFormat="1" ht="16">
      <c r="A3" s="38" t="s">
        <v>265</v>
      </c>
    </row>
    <row r="4" spans="1:4" s="38" customFormat="1" ht="16"/>
    <row r="5" spans="1:4" s="59" customFormat="1" ht="16">
      <c r="A5" s="70" t="s">
        <v>151</v>
      </c>
    </row>
    <row r="6" spans="1:4" s="38" customFormat="1" ht="16">
      <c r="A6" s="38" t="s">
        <v>556</v>
      </c>
    </row>
    <row r="7" spans="1:4" s="38" customFormat="1" ht="16">
      <c r="A7" s="38" t="s">
        <v>153</v>
      </c>
      <c r="B7" s="71" t="s">
        <v>152</v>
      </c>
    </row>
    <row r="8" spans="1:4" s="38" customFormat="1" ht="16">
      <c r="A8" s="38" t="s">
        <v>154</v>
      </c>
      <c r="B8" s="71" t="s">
        <v>499</v>
      </c>
    </row>
    <row r="9" spans="1:4" s="38" customFormat="1" ht="16">
      <c r="A9" s="38" t="s">
        <v>557</v>
      </c>
      <c r="B9" s="71"/>
    </row>
    <row r="10" spans="1:4" s="38" customFormat="1" ht="16">
      <c r="A10" s="38" t="s">
        <v>560</v>
      </c>
      <c r="B10" s="71"/>
    </row>
    <row r="11" spans="1:4" s="38" customFormat="1" ht="16">
      <c r="A11" s="38" t="s">
        <v>561</v>
      </c>
      <c r="B11" s="71"/>
    </row>
    <row r="12" spans="1:4" s="38" customFormat="1" ht="16">
      <c r="A12" s="38" t="s">
        <v>633</v>
      </c>
      <c r="B12" s="71"/>
    </row>
    <row r="13" spans="1:4" s="38" customFormat="1" ht="16">
      <c r="A13" s="38" t="s">
        <v>632</v>
      </c>
    </row>
    <row r="14" spans="1:4" s="38" customFormat="1" ht="16"/>
    <row r="15" spans="1:4" s="59" customFormat="1" ht="16">
      <c r="A15" s="70" t="s">
        <v>155</v>
      </c>
    </row>
    <row r="16" spans="1:4" s="38" customFormat="1" ht="16">
      <c r="A16" s="38" t="s">
        <v>156</v>
      </c>
      <c r="B16" s="71" t="s">
        <v>160</v>
      </c>
      <c r="D16" s="38" t="s">
        <v>161</v>
      </c>
    </row>
    <row r="17" spans="1:2" s="38" customFormat="1" ht="16">
      <c r="A17" s="38" t="s">
        <v>157</v>
      </c>
      <c r="B17" s="38" t="s">
        <v>162</v>
      </c>
    </row>
    <row r="18" spans="1:2" s="38" customFormat="1" ht="16">
      <c r="A18" s="38" t="s">
        <v>158</v>
      </c>
      <c r="B18" s="38" t="s">
        <v>159</v>
      </c>
    </row>
    <row r="19" spans="1:2" s="38" customFormat="1" ht="16">
      <c r="A19" s="73" t="s">
        <v>333</v>
      </c>
    </row>
    <row r="20" spans="1:2" s="38" customFormat="1" ht="16">
      <c r="A20" s="1"/>
    </row>
    <row r="21" spans="1:2" s="59" customFormat="1" ht="16">
      <c r="A21" s="70" t="s">
        <v>163</v>
      </c>
    </row>
    <row r="22" spans="1:2" s="59" customFormat="1" ht="16">
      <c r="A22" s="59" t="s">
        <v>191</v>
      </c>
    </row>
    <row r="23" spans="1:2" s="38" customFormat="1" ht="16">
      <c r="A23" s="38" t="s">
        <v>296</v>
      </c>
    </row>
    <row r="24" spans="1:2" s="38" customFormat="1" ht="16">
      <c r="A24" s="89" t="s">
        <v>519</v>
      </c>
    </row>
    <row r="25" spans="1:2" s="59" customFormat="1" ht="16">
      <c r="A25" s="59" t="s">
        <v>192</v>
      </c>
    </row>
    <row r="26" spans="1:2" s="38" customFormat="1" ht="16">
      <c r="A26" s="89" t="s">
        <v>558</v>
      </c>
    </row>
    <row r="27" spans="1:2" s="38" customFormat="1" ht="16">
      <c r="A27" s="89" t="s">
        <v>445</v>
      </c>
    </row>
    <row r="28" spans="1:2" s="38" customFormat="1" ht="16">
      <c r="A28" s="38" t="s">
        <v>248</v>
      </c>
    </row>
    <row r="29" spans="1:2" s="38" customFormat="1" ht="16"/>
    <row r="30" spans="1:2" s="38" customFormat="1" ht="16">
      <c r="A30" s="70" t="s">
        <v>244</v>
      </c>
    </row>
    <row r="31" spans="1:2" s="59" customFormat="1" ht="16">
      <c r="A31" s="38" t="s">
        <v>164</v>
      </c>
    </row>
    <row r="32" spans="1:2" s="38" customFormat="1" ht="16"/>
    <row r="33" spans="1:12" s="38" customFormat="1" ht="16">
      <c r="A33" s="70" t="s">
        <v>245</v>
      </c>
    </row>
    <row r="34" spans="1:12" s="70" customFormat="1" ht="16">
      <c r="A34" s="38" t="s">
        <v>246</v>
      </c>
    </row>
    <row r="35" spans="1:12" s="38" customFormat="1" ht="16">
      <c r="A35" s="38" t="s">
        <v>247</v>
      </c>
    </row>
    <row r="36" spans="1:12" s="38" customFormat="1" ht="16">
      <c r="I36" s="99" t="s">
        <v>528</v>
      </c>
    </row>
    <row r="37" spans="1:12" s="38" customFormat="1" ht="16">
      <c r="A37" s="38" t="s">
        <v>165</v>
      </c>
    </row>
    <row r="38" spans="1:12" s="38" customFormat="1" ht="16">
      <c r="A38" s="59" t="s">
        <v>166</v>
      </c>
    </row>
    <row r="39" spans="1:12" s="38" customFormat="1" ht="22" customHeight="1">
      <c r="A39" s="59" t="s">
        <v>451</v>
      </c>
      <c r="E39" s="242" t="s">
        <v>500</v>
      </c>
      <c r="F39" s="243"/>
      <c r="G39" s="243"/>
      <c r="H39" s="243"/>
      <c r="I39" s="243"/>
      <c r="J39" s="243"/>
      <c r="K39" s="243"/>
      <c r="L39" s="243"/>
    </row>
    <row r="40" spans="1:12" s="38" customFormat="1" ht="16">
      <c r="A40" s="59" t="s">
        <v>167</v>
      </c>
      <c r="E40" s="99" t="s">
        <v>533</v>
      </c>
    </row>
    <row r="41" spans="1:12" s="38" customFormat="1" ht="16">
      <c r="E41" s="71" t="s">
        <v>446</v>
      </c>
    </row>
    <row r="42" spans="1:12" s="38" customFormat="1" ht="16">
      <c r="A42"/>
      <c r="E42" s="71" t="s">
        <v>447</v>
      </c>
    </row>
  </sheetData>
  <mergeCells count="1">
    <mergeCell ref="E39:L39"/>
  </mergeCells>
  <hyperlinks>
    <hyperlink ref="B7" r:id="rId1" xr:uid="{00000000-0004-0000-0000-000000000000}"/>
    <hyperlink ref="B8" r:id="rId2" display="http://www.stern.nyu.edu/~adamodar/pc/implprem/ERPbymonth.xls" xr:uid="{00000000-0004-0000-0000-000001000000}"/>
    <hyperlink ref="B16" r:id="rId3" xr:uid="{00000000-0004-0000-0000-000002000000}"/>
    <hyperlink ref="E39" r:id="rId4" xr:uid="{DBAAE8A0-1687-1D45-9531-5660C15203F9}"/>
  </hyperlinks>
  <pageMargins left="0.75" right="0.75" top="1" bottom="1" header="0.5" footer="0.5"/>
  <pageSetup orientation="portrait" horizontalDpi="4294967292" verticalDpi="429496729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62"/>
  <sheetViews>
    <sheetView topLeftCell="A81" workbookViewId="0">
      <selection activeCell="B103" sqref="B103"/>
    </sheetView>
  </sheetViews>
  <sheetFormatPr baseColWidth="10" defaultRowHeight="13"/>
  <cols>
    <col min="1" max="1" width="32.5" customWidth="1"/>
    <col min="2" max="2" width="23" bestFit="1" customWidth="1"/>
    <col min="5" max="5" width="23.33203125" bestFit="1" customWidth="1"/>
  </cols>
  <sheetData>
    <row r="1" spans="1:2" ht="16">
      <c r="A1" s="7" t="s">
        <v>75</v>
      </c>
      <c r="B1" s="7" t="s">
        <v>52</v>
      </c>
    </row>
    <row r="2" spans="1:2" ht="16">
      <c r="A2" s="45" t="s">
        <v>268</v>
      </c>
      <c r="B2" s="8" t="s">
        <v>127</v>
      </c>
    </row>
    <row r="3" spans="1:2" ht="16">
      <c r="A3" s="8" t="s">
        <v>4</v>
      </c>
      <c r="B3" s="15" t="s">
        <v>125</v>
      </c>
    </row>
    <row r="4" spans="1:2" ht="16">
      <c r="A4" s="8" t="str">
        <f>'Sovereign Ratings (Moody''s,S&amp;P)'!A4</f>
        <v>Andorra (Principality of)</v>
      </c>
      <c r="B4" s="15" t="s">
        <v>126</v>
      </c>
    </row>
    <row r="5" spans="1:2" ht="16">
      <c r="A5" s="8" t="s">
        <v>131</v>
      </c>
      <c r="B5" s="15" t="s">
        <v>128</v>
      </c>
    </row>
    <row r="6" spans="1:2" ht="16">
      <c r="A6" s="8" t="s">
        <v>84</v>
      </c>
      <c r="B6" s="15" t="s">
        <v>51</v>
      </c>
    </row>
    <row r="7" spans="1:2" ht="16">
      <c r="A7" s="8" t="s">
        <v>19</v>
      </c>
      <c r="B7" s="15" t="s">
        <v>125</v>
      </c>
    </row>
    <row r="8" spans="1:2" ht="16">
      <c r="A8" s="33" t="s">
        <v>198</v>
      </c>
      <c r="B8" s="8" t="s">
        <v>54</v>
      </c>
    </row>
    <row r="9" spans="1:2" ht="16">
      <c r="A9" s="8" t="s">
        <v>85</v>
      </c>
      <c r="B9" s="15" t="s">
        <v>53</v>
      </c>
    </row>
    <row r="10" spans="1:2" ht="16">
      <c r="A10" s="8" t="s">
        <v>173</v>
      </c>
      <c r="B10" s="8" t="s">
        <v>126</v>
      </c>
    </row>
    <row r="11" spans="1:2" ht="16">
      <c r="A11" s="8" t="s">
        <v>20</v>
      </c>
      <c r="B11" s="8" t="s">
        <v>125</v>
      </c>
    </row>
    <row r="12" spans="1:2" ht="16">
      <c r="A12" s="8" t="s">
        <v>86</v>
      </c>
      <c r="B12" s="15" t="s">
        <v>54</v>
      </c>
    </row>
    <row r="13" spans="1:2" ht="16">
      <c r="A13" s="8" t="s">
        <v>87</v>
      </c>
      <c r="B13" s="8" t="s">
        <v>127</v>
      </c>
    </row>
    <row r="14" spans="1:2" ht="16">
      <c r="A14" s="8" t="s">
        <v>132</v>
      </c>
      <c r="B14" s="8" t="s">
        <v>129</v>
      </c>
    </row>
    <row r="15" spans="1:2" ht="16">
      <c r="A15" s="8" t="s">
        <v>88</v>
      </c>
      <c r="B15" s="8" t="s">
        <v>54</v>
      </c>
    </row>
    <row r="16" spans="1:2" ht="16">
      <c r="A16" s="8" t="s">
        <v>5</v>
      </c>
      <c r="B16" s="8" t="s">
        <v>125</v>
      </c>
    </row>
    <row r="17" spans="1:2" ht="16">
      <c r="A17" s="8" t="s">
        <v>174</v>
      </c>
      <c r="B17" s="8" t="s">
        <v>126</v>
      </c>
    </row>
    <row r="18" spans="1:2" ht="16">
      <c r="A18" s="8" t="s">
        <v>89</v>
      </c>
      <c r="B18" s="8" t="s">
        <v>51</v>
      </c>
    </row>
    <row r="19" spans="1:2" ht="16">
      <c r="A19" s="8" t="s">
        <v>205</v>
      </c>
      <c r="B19" s="8" t="s">
        <v>128</v>
      </c>
    </row>
    <row r="20" spans="1:2" ht="16">
      <c r="A20" s="8" t="s">
        <v>90</v>
      </c>
      <c r="B20" s="8" t="s">
        <v>54</v>
      </c>
    </row>
    <row r="21" spans="1:2" ht="16">
      <c r="A21" s="8" t="s">
        <v>91</v>
      </c>
      <c r="B21" s="8" t="s">
        <v>51</v>
      </c>
    </row>
    <row r="22" spans="1:2" ht="16">
      <c r="A22" s="8" t="s">
        <v>7</v>
      </c>
      <c r="B22" s="8" t="s">
        <v>125</v>
      </c>
    </row>
    <row r="23" spans="1:2" ht="16">
      <c r="A23" s="8" t="s">
        <v>123</v>
      </c>
      <c r="B23" s="8" t="s">
        <v>128</v>
      </c>
    </row>
    <row r="24" spans="1:2" ht="16">
      <c r="A24" s="8" t="s">
        <v>92</v>
      </c>
      <c r="B24" s="8" t="s">
        <v>51</v>
      </c>
    </row>
    <row r="25" spans="1:2" ht="16">
      <c r="A25" s="8" t="s">
        <v>94</v>
      </c>
      <c r="B25" s="8" t="s">
        <v>125</v>
      </c>
    </row>
    <row r="26" spans="1:2" ht="16">
      <c r="A26" s="33" t="s">
        <v>208</v>
      </c>
      <c r="B26" s="8" t="s">
        <v>128</v>
      </c>
    </row>
    <row r="27" spans="1:2" ht="16">
      <c r="A27" s="8" t="s">
        <v>6</v>
      </c>
      <c r="B27" s="8" t="s">
        <v>129</v>
      </c>
    </row>
    <row r="28" spans="1:2" ht="16">
      <c r="A28" s="34" t="s">
        <v>209</v>
      </c>
      <c r="B28" s="8" t="s">
        <v>128</v>
      </c>
    </row>
    <row r="29" spans="1:2" ht="16">
      <c r="A29" s="8" t="s">
        <v>95</v>
      </c>
      <c r="B29" s="8" t="s">
        <v>130</v>
      </c>
    </row>
    <row r="30" spans="1:2" ht="16">
      <c r="A30" s="8" t="s">
        <v>210</v>
      </c>
      <c r="B30" s="8" t="s">
        <v>128</v>
      </c>
    </row>
    <row r="31" spans="1:2" ht="16">
      <c r="A31" s="8" t="s">
        <v>55</v>
      </c>
      <c r="B31" s="8" t="s">
        <v>54</v>
      </c>
    </row>
    <row r="32" spans="1:2" ht="16">
      <c r="A32" s="8" t="s">
        <v>96</v>
      </c>
      <c r="B32" s="8" t="s">
        <v>51</v>
      </c>
    </row>
    <row r="33" spans="1:2" ht="16">
      <c r="A33" s="8" t="s">
        <v>97</v>
      </c>
      <c r="B33" s="8" t="s">
        <v>129</v>
      </c>
    </row>
    <row r="34" spans="1:2" ht="16">
      <c r="A34" s="8" t="s">
        <v>50</v>
      </c>
      <c r="B34" s="8" t="s">
        <v>51</v>
      </c>
    </row>
    <row r="35" spans="1:2" ht="16">
      <c r="A35" s="45" t="s">
        <v>282</v>
      </c>
      <c r="B35" s="8" t="s">
        <v>128</v>
      </c>
    </row>
    <row r="36" spans="1:2" ht="16">
      <c r="A36" s="45" t="s">
        <v>283</v>
      </c>
      <c r="B36" s="8" t="s">
        <v>128</v>
      </c>
    </row>
    <row r="37" spans="1:2" ht="16">
      <c r="A37" s="34" t="s">
        <v>211</v>
      </c>
      <c r="B37" s="8" t="s">
        <v>53</v>
      </c>
    </row>
    <row r="38" spans="1:2" ht="16">
      <c r="A38" s="8" t="s">
        <v>56</v>
      </c>
      <c r="B38" s="8" t="s">
        <v>51</v>
      </c>
    </row>
    <row r="39" spans="1:2" ht="16">
      <c r="A39" s="45" t="s">
        <v>278</v>
      </c>
      <c r="B39" s="8" t="s">
        <v>128</v>
      </c>
    </row>
    <row r="40" spans="1:2" ht="16">
      <c r="A40" s="8" t="s">
        <v>98</v>
      </c>
      <c r="B40" s="8" t="s">
        <v>125</v>
      </c>
    </row>
    <row r="41" spans="1:2" ht="16">
      <c r="A41" s="8" t="s">
        <v>99</v>
      </c>
      <c r="B41" s="8" t="s">
        <v>54</v>
      </c>
    </row>
    <row r="42" spans="1:2" ht="16">
      <c r="A42" s="33" t="s">
        <v>214</v>
      </c>
      <c r="B42" s="8" t="s">
        <v>54</v>
      </c>
    </row>
    <row r="43" spans="1:2" ht="16">
      <c r="A43" s="8" t="s">
        <v>175</v>
      </c>
      <c r="B43" s="8" t="s">
        <v>126</v>
      </c>
    </row>
    <row r="44" spans="1:2" ht="16">
      <c r="A44" s="8" t="s">
        <v>101</v>
      </c>
      <c r="B44" s="8" t="s">
        <v>125</v>
      </c>
    </row>
    <row r="45" spans="1:2" ht="16">
      <c r="A45" s="38" t="s">
        <v>270</v>
      </c>
      <c r="B45" s="8" t="s">
        <v>128</v>
      </c>
    </row>
    <row r="46" spans="1:2" ht="16">
      <c r="A46" s="8" t="s">
        <v>102</v>
      </c>
      <c r="B46" s="8" t="s">
        <v>126</v>
      </c>
    </row>
    <row r="47" spans="1:2" ht="16">
      <c r="A47" s="8" t="s">
        <v>103</v>
      </c>
      <c r="B47" s="8" t="s">
        <v>54</v>
      </c>
    </row>
    <row r="48" spans="1:2" ht="16">
      <c r="A48" s="8" t="s">
        <v>104</v>
      </c>
      <c r="B48" s="8" t="s">
        <v>51</v>
      </c>
    </row>
    <row r="49" spans="1:2" ht="16">
      <c r="A49" s="8" t="s">
        <v>105</v>
      </c>
      <c r="B49" s="8" t="s">
        <v>128</v>
      </c>
    </row>
    <row r="50" spans="1:2" ht="16">
      <c r="A50" s="8" t="s">
        <v>31</v>
      </c>
      <c r="B50" s="8" t="s">
        <v>51</v>
      </c>
    </row>
    <row r="51" spans="1:2" ht="16">
      <c r="A51" s="8" t="s">
        <v>106</v>
      </c>
      <c r="B51" s="8" t="s">
        <v>125</v>
      </c>
    </row>
    <row r="52" spans="1:2" ht="16">
      <c r="A52" s="45" t="s">
        <v>279</v>
      </c>
      <c r="B52" s="8" t="s">
        <v>128</v>
      </c>
    </row>
    <row r="53" spans="1:2" ht="16">
      <c r="A53" s="8" t="s">
        <v>216</v>
      </c>
      <c r="B53" s="8" t="s">
        <v>129</v>
      </c>
    </row>
    <row r="54" spans="1:2" ht="16">
      <c r="A54" s="8" t="s">
        <v>176</v>
      </c>
      <c r="B54" s="8" t="s">
        <v>126</v>
      </c>
    </row>
    <row r="55" spans="1:2" ht="16">
      <c r="A55" s="8" t="s">
        <v>177</v>
      </c>
      <c r="B55" s="8" t="s">
        <v>126</v>
      </c>
    </row>
    <row r="56" spans="1:2" ht="16">
      <c r="A56" s="33" t="s">
        <v>217</v>
      </c>
      <c r="B56" s="8" t="s">
        <v>128</v>
      </c>
    </row>
    <row r="57" spans="1:2" ht="16">
      <c r="A57" s="8" t="s">
        <v>133</v>
      </c>
      <c r="B57" s="8" t="s">
        <v>125</v>
      </c>
    </row>
    <row r="58" spans="1:2" ht="16">
      <c r="A58" s="8" t="s">
        <v>178</v>
      </c>
      <c r="B58" s="8" t="s">
        <v>126</v>
      </c>
    </row>
    <row r="59" spans="1:2" ht="16">
      <c r="A59" s="8" t="s">
        <v>218</v>
      </c>
      <c r="B59" s="8" t="s">
        <v>128</v>
      </c>
    </row>
    <row r="60" spans="1:2" ht="16">
      <c r="A60" s="8" t="s">
        <v>179</v>
      </c>
      <c r="B60" s="8" t="s">
        <v>126</v>
      </c>
    </row>
    <row r="61" spans="1:2" ht="16">
      <c r="A61" s="8" t="s">
        <v>107</v>
      </c>
      <c r="B61" s="8" t="s">
        <v>51</v>
      </c>
    </row>
    <row r="62" spans="1:2" ht="16">
      <c r="A62" s="45" t="s">
        <v>284</v>
      </c>
      <c r="B62" s="8" t="s">
        <v>126</v>
      </c>
    </row>
    <row r="63" spans="1:2" ht="16">
      <c r="A63" s="8" t="s">
        <v>108</v>
      </c>
      <c r="B63" s="8" t="s">
        <v>51</v>
      </c>
    </row>
    <row r="64" spans="1:2" ht="16">
      <c r="A64" s="8" t="s">
        <v>59</v>
      </c>
      <c r="B64" s="8" t="s">
        <v>129</v>
      </c>
    </row>
    <row r="65" spans="1:2" ht="16">
      <c r="A65" s="8" t="s">
        <v>109</v>
      </c>
      <c r="B65" s="8" t="s">
        <v>125</v>
      </c>
    </row>
    <row r="66" spans="1:2" ht="16">
      <c r="A66" s="8" t="s">
        <v>110</v>
      </c>
      <c r="B66" s="8" t="s">
        <v>126</v>
      </c>
    </row>
    <row r="67" spans="1:2" ht="16">
      <c r="A67" s="8" t="s">
        <v>111</v>
      </c>
      <c r="B67" s="8" t="s">
        <v>129</v>
      </c>
    </row>
    <row r="68" spans="1:2" ht="16">
      <c r="A68" s="8" t="s">
        <v>112</v>
      </c>
      <c r="B68" s="8" t="s">
        <v>129</v>
      </c>
    </row>
    <row r="69" spans="1:2" ht="16">
      <c r="A69" s="8" t="s">
        <v>323</v>
      </c>
      <c r="B69" s="8" t="s">
        <v>127</v>
      </c>
    </row>
    <row r="70" spans="1:2" ht="16">
      <c r="A70" s="8" t="s">
        <v>180</v>
      </c>
      <c r="B70" s="8" t="s">
        <v>126</v>
      </c>
    </row>
    <row r="71" spans="1:2" ht="16">
      <c r="A71" s="8" t="s">
        <v>113</v>
      </c>
      <c r="B71" s="8" t="s">
        <v>126</v>
      </c>
    </row>
    <row r="72" spans="1:2" ht="16">
      <c r="A72" s="8" t="s">
        <v>114</v>
      </c>
      <c r="B72" s="8" t="s">
        <v>127</v>
      </c>
    </row>
    <row r="73" spans="1:2" ht="16">
      <c r="A73" s="8" t="s">
        <v>144</v>
      </c>
      <c r="B73" s="8" t="s">
        <v>126</v>
      </c>
    </row>
    <row r="74" spans="1:2" ht="16">
      <c r="A74" s="8" t="s">
        <v>115</v>
      </c>
      <c r="B74" s="8" t="s">
        <v>54</v>
      </c>
    </row>
    <row r="75" spans="1:2" ht="16">
      <c r="A75" s="8" t="s">
        <v>116</v>
      </c>
      <c r="B75" s="8" t="s">
        <v>129</v>
      </c>
    </row>
    <row r="76" spans="1:2" ht="16">
      <c r="A76" s="45" t="s">
        <v>285</v>
      </c>
      <c r="B76" s="8" t="s">
        <v>126</v>
      </c>
    </row>
    <row r="77" spans="1:2" ht="16">
      <c r="A77" s="8" t="s">
        <v>117</v>
      </c>
      <c r="B77" s="8" t="s">
        <v>127</v>
      </c>
    </row>
    <row r="78" spans="1:2" ht="16">
      <c r="A78" s="8" t="s">
        <v>118</v>
      </c>
      <c r="B78" s="8" t="s">
        <v>125</v>
      </c>
    </row>
    <row r="79" spans="1:2" ht="16">
      <c r="A79" s="8" t="s">
        <v>181</v>
      </c>
      <c r="B79" s="8" t="s">
        <v>128</v>
      </c>
    </row>
    <row r="80" spans="1:2" ht="16">
      <c r="A80" s="8" t="s">
        <v>119</v>
      </c>
      <c r="B80" s="8" t="s">
        <v>129</v>
      </c>
    </row>
    <row r="81" spans="1:2" ht="16">
      <c r="A81" s="8" t="s">
        <v>120</v>
      </c>
      <c r="B81" s="8" t="s">
        <v>127</v>
      </c>
    </row>
    <row r="82" spans="1:2" ht="16">
      <c r="A82" t="s">
        <v>342</v>
      </c>
      <c r="B82" s="8" t="s">
        <v>125</v>
      </c>
    </row>
    <row r="83" spans="1:2" ht="16">
      <c r="A83" s="142" t="s">
        <v>334</v>
      </c>
      <c r="B83" s="8" t="s">
        <v>129</v>
      </c>
    </row>
    <row r="84" spans="1:2" ht="16">
      <c r="A84" s="8" t="s">
        <v>121</v>
      </c>
      <c r="B84" s="8" t="s">
        <v>125</v>
      </c>
    </row>
    <row r="85" spans="1:2" ht="16">
      <c r="A85" s="8" t="s">
        <v>122</v>
      </c>
      <c r="B85" s="8" t="s">
        <v>127</v>
      </c>
    </row>
    <row r="86" spans="1:2" ht="16">
      <c r="A86" s="34" t="s">
        <v>220</v>
      </c>
      <c r="B86" s="8" t="s">
        <v>126</v>
      </c>
    </row>
    <row r="87" spans="1:2" ht="16">
      <c r="A87" s="8" t="s">
        <v>13</v>
      </c>
      <c r="B87" s="8" t="s">
        <v>125</v>
      </c>
    </row>
    <row r="88" spans="1:2" ht="16">
      <c r="A88" s="8" t="s">
        <v>182</v>
      </c>
      <c r="B88" s="8" t="s">
        <v>126</v>
      </c>
    </row>
    <row r="89" spans="1:2" ht="16">
      <c r="A89" s="8" t="s">
        <v>32</v>
      </c>
      <c r="B89" s="8" t="s">
        <v>129</v>
      </c>
    </row>
    <row r="90" spans="1:2" ht="16">
      <c r="A90" s="34" t="s">
        <v>145</v>
      </c>
      <c r="B90" s="8" t="s">
        <v>125</v>
      </c>
    </row>
    <row r="91" spans="1:2" ht="16">
      <c r="A91" s="8" t="s">
        <v>14</v>
      </c>
      <c r="B91" s="8" t="s">
        <v>129</v>
      </c>
    </row>
    <row r="92" spans="1:2" ht="16">
      <c r="A92" s="8" t="s">
        <v>379</v>
      </c>
      <c r="B92" s="8" t="s">
        <v>129</v>
      </c>
    </row>
    <row r="93" spans="1:2" ht="16">
      <c r="A93" s="8" t="s">
        <v>317</v>
      </c>
      <c r="B93" s="8" t="s">
        <v>128</v>
      </c>
    </row>
    <row r="94" spans="1:2" ht="16">
      <c r="A94" s="8" t="s">
        <v>183</v>
      </c>
      <c r="B94" s="8" t="s">
        <v>126</v>
      </c>
    </row>
    <row r="95" spans="1:2" ht="16">
      <c r="A95" s="8" t="s">
        <v>15</v>
      </c>
      <c r="B95" s="8" t="s">
        <v>128</v>
      </c>
    </row>
    <row r="96" spans="1:2" ht="16">
      <c r="A96" s="8" t="s">
        <v>16</v>
      </c>
      <c r="B96" s="8" t="s">
        <v>51</v>
      </c>
    </row>
    <row r="97" spans="1:2" ht="16">
      <c r="A97" s="8" t="s">
        <v>17</v>
      </c>
      <c r="B97" s="8" t="s">
        <v>125</v>
      </c>
    </row>
    <row r="98" spans="1:2" ht="16">
      <c r="A98" s="8" t="s">
        <v>63</v>
      </c>
      <c r="B98" s="8" t="s">
        <v>129</v>
      </c>
    </row>
    <row r="99" spans="1:2" ht="16">
      <c r="A99" s="8" t="s">
        <v>8</v>
      </c>
      <c r="B99" s="8" t="s">
        <v>125</v>
      </c>
    </row>
    <row r="100" spans="1:2" ht="16">
      <c r="A100" s="33" t="s">
        <v>222</v>
      </c>
      <c r="B100" s="8" t="s">
        <v>54</v>
      </c>
    </row>
    <row r="101" spans="1:2" ht="16">
      <c r="A101" s="8" t="s">
        <v>18</v>
      </c>
      <c r="B101" s="8" t="s">
        <v>128</v>
      </c>
    </row>
    <row r="102" spans="1:2" ht="16">
      <c r="A102" s="34" t="s">
        <v>223</v>
      </c>
      <c r="B102" s="8" t="s">
        <v>128</v>
      </c>
    </row>
    <row r="103" spans="1:2" ht="16">
      <c r="A103" s="8" t="s">
        <v>136</v>
      </c>
      <c r="B103" s="8" t="s">
        <v>128</v>
      </c>
    </row>
    <row r="104" spans="1:2" ht="16">
      <c r="A104" s="8" t="s">
        <v>369</v>
      </c>
      <c r="B104" s="8" t="s">
        <v>129</v>
      </c>
    </row>
    <row r="105" spans="1:2" ht="16">
      <c r="A105" s="8" t="s">
        <v>184</v>
      </c>
      <c r="B105" s="8" t="s">
        <v>126</v>
      </c>
    </row>
    <row r="106" spans="1:2" ht="16">
      <c r="A106" s="8" t="s">
        <v>21</v>
      </c>
      <c r="B106" s="8" t="s">
        <v>53</v>
      </c>
    </row>
    <row r="107" spans="1:2" ht="16">
      <c r="A107" s="8" t="s">
        <v>22</v>
      </c>
      <c r="B107" s="8" t="s">
        <v>51</v>
      </c>
    </row>
    <row r="108" spans="1:2" ht="16">
      <c r="A108" s="8" t="s">
        <v>313</v>
      </c>
      <c r="B108" s="8" t="s">
        <v>128</v>
      </c>
    </row>
    <row r="109" spans="1:2" ht="16">
      <c r="A109" s="8" t="s">
        <v>185</v>
      </c>
      <c r="B109" s="8" t="s">
        <v>128</v>
      </c>
    </row>
    <row r="110" spans="1:2" ht="16">
      <c r="A110" s="8" t="s">
        <v>23</v>
      </c>
      <c r="B110" s="8" t="s">
        <v>126</v>
      </c>
    </row>
    <row r="111" spans="1:2" ht="16">
      <c r="A111" s="8" t="s">
        <v>24</v>
      </c>
      <c r="B111" s="8" t="s">
        <v>127</v>
      </c>
    </row>
    <row r="112" spans="1:2" ht="16">
      <c r="A112" s="8" t="s">
        <v>25</v>
      </c>
      <c r="B112" s="8" t="s">
        <v>129</v>
      </c>
    </row>
    <row r="113" spans="1:2" ht="16">
      <c r="A113" s="8" t="s">
        <v>26</v>
      </c>
      <c r="B113" s="8" t="s">
        <v>51</v>
      </c>
    </row>
    <row r="114" spans="1:2" ht="16">
      <c r="A114" s="8" t="s">
        <v>9</v>
      </c>
      <c r="B114" s="8" t="s">
        <v>129</v>
      </c>
    </row>
    <row r="115" spans="1:2" ht="16">
      <c r="A115" s="8" t="s">
        <v>27</v>
      </c>
      <c r="B115" s="8" t="s">
        <v>51</v>
      </c>
    </row>
    <row r="116" spans="1:2" ht="16">
      <c r="A116" s="8" t="s">
        <v>28</v>
      </c>
      <c r="B116" s="8" t="s">
        <v>51</v>
      </c>
    </row>
    <row r="117" spans="1:2" ht="16">
      <c r="A117" s="8" t="s">
        <v>29</v>
      </c>
      <c r="B117" s="8" t="s">
        <v>129</v>
      </c>
    </row>
    <row r="118" spans="1:2" ht="16">
      <c r="A118" s="8" t="s">
        <v>30</v>
      </c>
      <c r="B118" s="8" t="s">
        <v>125</v>
      </c>
    </row>
    <row r="119" spans="1:2" ht="16">
      <c r="A119" s="8" t="s">
        <v>186</v>
      </c>
      <c r="B119" s="8" t="s">
        <v>126</v>
      </c>
    </row>
    <row r="120" spans="1:2" ht="16">
      <c r="A120" s="8" t="s">
        <v>74</v>
      </c>
      <c r="B120" s="8" t="s">
        <v>127</v>
      </c>
    </row>
    <row r="121" spans="1:2" ht="16">
      <c r="A121" s="38" t="s">
        <v>286</v>
      </c>
      <c r="B121" s="8" t="s">
        <v>127</v>
      </c>
    </row>
    <row r="122" spans="1:2" ht="16">
      <c r="A122" s="38" t="s">
        <v>269</v>
      </c>
      <c r="B122" s="8" t="s">
        <v>128</v>
      </c>
    </row>
    <row r="123" spans="1:2" ht="16">
      <c r="A123" s="8" t="s">
        <v>0</v>
      </c>
      <c r="B123" s="8" t="s">
        <v>125</v>
      </c>
    </row>
    <row r="124" spans="1:2" ht="16">
      <c r="A124" s="8" t="s">
        <v>1</v>
      </c>
      <c r="B124" s="8" t="s">
        <v>125</v>
      </c>
    </row>
    <row r="125" spans="1:2" ht="16">
      <c r="A125" s="34" t="s">
        <v>224</v>
      </c>
      <c r="B125" s="8" t="s">
        <v>128</v>
      </c>
    </row>
    <row r="126" spans="1:2" ht="16">
      <c r="A126" s="8" t="s">
        <v>2</v>
      </c>
      <c r="B126" s="8" t="s">
        <v>127</v>
      </c>
    </row>
    <row r="127" spans="1:2" ht="16">
      <c r="A127" s="8" t="s">
        <v>135</v>
      </c>
      <c r="B127" s="8" t="s">
        <v>128</v>
      </c>
    </row>
    <row r="128" spans="1:2" ht="16">
      <c r="A128" s="34" t="s">
        <v>146</v>
      </c>
      <c r="B128" s="8" t="s">
        <v>125</v>
      </c>
    </row>
    <row r="129" spans="1:2" ht="16">
      <c r="A129" s="45" t="s">
        <v>280</v>
      </c>
      <c r="B129" s="8" t="s">
        <v>127</v>
      </c>
    </row>
    <row r="130" spans="1:2" ht="16">
      <c r="A130" s="8" t="s">
        <v>3</v>
      </c>
      <c r="B130" s="8" t="s">
        <v>129</v>
      </c>
    </row>
    <row r="131" spans="1:2" ht="16">
      <c r="A131" s="8" t="s">
        <v>61</v>
      </c>
      <c r="B131" s="8" t="s">
        <v>125</v>
      </c>
    </row>
    <row r="132" spans="1:2" ht="16">
      <c r="A132" s="8" t="s">
        <v>187</v>
      </c>
      <c r="B132" s="8" t="s">
        <v>125</v>
      </c>
    </row>
    <row r="133" spans="1:2" ht="16">
      <c r="A133" s="8" t="s">
        <v>391</v>
      </c>
      <c r="B133" s="8" t="s">
        <v>129</v>
      </c>
    </row>
    <row r="134" spans="1:2" ht="16">
      <c r="A134" s="8" t="s">
        <v>76</v>
      </c>
      <c r="B134" s="8" t="s">
        <v>128</v>
      </c>
    </row>
    <row r="135" spans="1:2" ht="16">
      <c r="A135" s="8" t="s">
        <v>138</v>
      </c>
      <c r="B135" s="8" t="s">
        <v>126</v>
      </c>
    </row>
    <row r="136" spans="1:2" ht="16">
      <c r="A136" s="8" t="s">
        <v>134</v>
      </c>
      <c r="B136" s="8" t="s">
        <v>129</v>
      </c>
    </row>
    <row r="137" spans="1:2" ht="16">
      <c r="A137" s="36" t="s">
        <v>188</v>
      </c>
      <c r="B137" s="8" t="s">
        <v>54</v>
      </c>
    </row>
    <row r="138" spans="1:2" ht="16">
      <c r="A138" s="8" t="s">
        <v>10</v>
      </c>
      <c r="B138" s="8" t="s">
        <v>54</v>
      </c>
    </row>
    <row r="139" spans="1:2" ht="16">
      <c r="A139" s="8" t="s">
        <v>33</v>
      </c>
      <c r="B139" s="8" t="s">
        <v>51</v>
      </c>
    </row>
    <row r="140" spans="1:2" ht="16">
      <c r="A140" s="8" t="s">
        <v>378</v>
      </c>
      <c r="B140" s="8" t="s">
        <v>128</v>
      </c>
    </row>
    <row r="141" spans="1:2" ht="16">
      <c r="A141" s="8" t="s">
        <v>34</v>
      </c>
      <c r="B141" s="8" t="s">
        <v>126</v>
      </c>
    </row>
    <row r="142" spans="1:2" ht="16">
      <c r="A142" s="8" t="s">
        <v>35</v>
      </c>
      <c r="B142" s="8" t="s">
        <v>126</v>
      </c>
    </row>
    <row r="143" spans="1:2" ht="16">
      <c r="A143" s="8" t="s">
        <v>64</v>
      </c>
      <c r="B143" s="8" t="s">
        <v>129</v>
      </c>
    </row>
    <row r="144" spans="1:2" ht="16">
      <c r="A144" s="8" t="s">
        <v>375</v>
      </c>
      <c r="B144" s="8" t="s">
        <v>125</v>
      </c>
    </row>
    <row r="145" spans="1:2" ht="16">
      <c r="A145" s="8" t="s">
        <v>324</v>
      </c>
      <c r="B145" s="8" t="s">
        <v>128</v>
      </c>
    </row>
    <row r="146" spans="1:2" ht="16">
      <c r="A146" s="8" t="s">
        <v>65</v>
      </c>
      <c r="B146" s="8" t="s">
        <v>129</v>
      </c>
    </row>
    <row r="147" spans="1:2" ht="16">
      <c r="A147" s="8" t="s">
        <v>316</v>
      </c>
      <c r="B147" s="8" t="s">
        <v>128</v>
      </c>
    </row>
    <row r="148" spans="1:2" ht="16">
      <c r="A148" s="8" t="s">
        <v>11</v>
      </c>
      <c r="B148" s="8" t="s">
        <v>54</v>
      </c>
    </row>
    <row r="149" spans="1:2" ht="16">
      <c r="A149" s="8" t="s">
        <v>77</v>
      </c>
      <c r="B149" s="8" t="s">
        <v>128</v>
      </c>
    </row>
    <row r="150" spans="1:2" ht="16">
      <c r="A150" s="8" t="s">
        <v>66</v>
      </c>
      <c r="B150" s="8" t="s">
        <v>126</v>
      </c>
    </row>
    <row r="151" spans="1:2" ht="16">
      <c r="A151" s="8" t="s">
        <v>67</v>
      </c>
      <c r="B151" s="8" t="s">
        <v>125</v>
      </c>
    </row>
    <row r="152" spans="1:2" ht="16">
      <c r="A152" s="8" t="s">
        <v>287</v>
      </c>
      <c r="B152" s="8" t="s">
        <v>54</v>
      </c>
    </row>
    <row r="153" spans="1:2" ht="16">
      <c r="A153" s="8" t="s">
        <v>225</v>
      </c>
      <c r="B153" s="8" t="s">
        <v>128</v>
      </c>
    </row>
    <row r="154" spans="1:2" ht="16">
      <c r="A154" s="8" t="s">
        <v>68</v>
      </c>
      <c r="B154" s="8" t="s">
        <v>125</v>
      </c>
    </row>
    <row r="155" spans="1:2" ht="16">
      <c r="A155" s="8" t="s">
        <v>60</v>
      </c>
      <c r="B155" s="8" t="s">
        <v>127</v>
      </c>
    </row>
    <row r="156" spans="1:2" ht="16">
      <c r="A156" s="8" t="s">
        <v>57</v>
      </c>
      <c r="B156" s="8" t="s">
        <v>126</v>
      </c>
    </row>
    <row r="157" spans="1:2" ht="16">
      <c r="A157" s="8" t="s">
        <v>345</v>
      </c>
      <c r="B157" s="8" t="s">
        <v>130</v>
      </c>
    </row>
    <row r="158" spans="1:2" ht="16">
      <c r="A158" s="8" t="s">
        <v>69</v>
      </c>
      <c r="B158" s="8" t="s">
        <v>51</v>
      </c>
    </row>
    <row r="159" spans="1:2" ht="16">
      <c r="A159" s="8" t="s">
        <v>367</v>
      </c>
      <c r="B159" s="8" t="s">
        <v>125</v>
      </c>
    </row>
    <row r="160" spans="1:2" ht="16">
      <c r="A160" s="8" t="s">
        <v>70</v>
      </c>
      <c r="B160" s="8" t="s">
        <v>51</v>
      </c>
    </row>
    <row r="161" spans="1:2" ht="16">
      <c r="A161" s="8" t="s">
        <v>71</v>
      </c>
      <c r="B161" s="8" t="s">
        <v>129</v>
      </c>
    </row>
    <row r="162" spans="1:2" ht="16">
      <c r="A162" s="8" t="s">
        <v>189</v>
      </c>
      <c r="B162" s="8" t="s">
        <v>128</v>
      </c>
    </row>
  </sheetData>
  <pageMargins left="0.75" right="0.75" top="1" bottom="1" header="0.5" footer="0.5"/>
  <pageSetup orientation="portrait" horizontalDpi="4294967292" verticalDpi="429496729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91"/>
  <sheetViews>
    <sheetView tabSelected="1" topLeftCell="A44" workbookViewId="0">
      <selection activeCell="G84" sqref="G84:I84"/>
    </sheetView>
  </sheetViews>
  <sheetFormatPr baseColWidth="10" defaultRowHeight="13"/>
  <cols>
    <col min="1" max="1" width="11.83203125" bestFit="1" customWidth="1"/>
    <col min="2" max="2" width="16.33203125" style="25" bestFit="1" customWidth="1"/>
    <col min="3" max="3" width="19" style="25" bestFit="1" customWidth="1"/>
    <col min="4" max="4" width="47.5" customWidth="1"/>
    <col min="5" max="5" width="19.6640625" customWidth="1"/>
    <col min="7" max="7" width="10.83203125" style="25"/>
    <col min="11" max="11" width="22.1640625" customWidth="1"/>
  </cols>
  <sheetData>
    <row r="1" spans="1:14" ht="34">
      <c r="A1" s="17" t="s">
        <v>39</v>
      </c>
      <c r="B1" s="154" t="s">
        <v>647</v>
      </c>
      <c r="C1" s="157" t="s">
        <v>648</v>
      </c>
      <c r="E1" s="66" t="s">
        <v>75</v>
      </c>
      <c r="F1" s="67" t="s">
        <v>267</v>
      </c>
      <c r="G1" s="135">
        <v>44560</v>
      </c>
      <c r="H1" s="135">
        <v>44650</v>
      </c>
      <c r="I1" s="67" t="s">
        <v>422</v>
      </c>
      <c r="K1" s="66" t="s">
        <v>75</v>
      </c>
      <c r="L1" s="135">
        <v>44650</v>
      </c>
      <c r="M1" s="66"/>
      <c r="N1" s="135"/>
    </row>
    <row r="2" spans="1:14" ht="16">
      <c r="A2" s="4" t="s">
        <v>41</v>
      </c>
      <c r="B2" s="155">
        <v>59.929264451546203</v>
      </c>
      <c r="C2" s="158">
        <f t="shared" ref="C2:C21" si="0">B2*(1+$I$84)</f>
        <v>67.106679227369654</v>
      </c>
      <c r="E2" s="46" t="s">
        <v>268</v>
      </c>
      <c r="F2" s="56" t="str">
        <f>VLOOKUP(E2,'Sovereign Ratings (Moody''s,S&amp;P)'!A2:D158,4,FALSE)</f>
        <v>Aa2</v>
      </c>
      <c r="G2" s="48">
        <v>6.0000000000000001E-3</v>
      </c>
      <c r="H2" s="48">
        <f>VLOOKUP(E2,$K$2:$L$91,2,FALSE)</f>
        <v>9.1000000000000004E-3</v>
      </c>
      <c r="I2" s="72">
        <f t="shared" ref="I2:I56" si="1">IF(H2="NA","NA",IF(G2="NA","NA",H2/G2-1))</f>
        <v>0.51666666666666661</v>
      </c>
      <c r="K2" s="46" t="s">
        <v>268</v>
      </c>
      <c r="L2" s="48">
        <v>9.1000000000000004E-3</v>
      </c>
      <c r="M2" s="46"/>
      <c r="N2" s="48"/>
    </row>
    <row r="3" spans="1:14" ht="16">
      <c r="A3" s="4" t="s">
        <v>42</v>
      </c>
      <c r="B3" s="155">
        <v>71.915117341855421</v>
      </c>
      <c r="C3" s="158">
        <f t="shared" si="0"/>
        <v>80.528015072843559</v>
      </c>
      <c r="E3" s="46" t="s">
        <v>329</v>
      </c>
      <c r="F3" s="56" t="e">
        <f>VLOOKUP(E3,'Sovereign Ratings (Moody''s,S&amp;P)'!A3:D159,4,FALSE)</f>
        <v>#N/A</v>
      </c>
      <c r="G3" s="48">
        <v>1.34E-2</v>
      </c>
      <c r="H3" s="48">
        <f t="shared" ref="H3:H66" si="2">VLOOKUP(E3,$K$2:$L$91,2,FALSE)</f>
        <v>1.2200000000000001E-2</v>
      </c>
      <c r="I3" s="72">
        <f t="shared" si="1"/>
        <v>-8.9552238805970075E-2</v>
      </c>
      <c r="K3" s="46" t="s">
        <v>329</v>
      </c>
      <c r="L3" s="48">
        <v>1.2200000000000001E-2</v>
      </c>
      <c r="M3" s="46"/>
      <c r="N3" s="48"/>
    </row>
    <row r="4" spans="1:14" ht="16">
      <c r="A4" s="4" t="s">
        <v>43</v>
      </c>
      <c r="B4" s="155">
        <v>101.87974956762852</v>
      </c>
      <c r="C4" s="158">
        <f t="shared" si="0"/>
        <v>114.08135468652839</v>
      </c>
      <c r="E4" s="46" t="s">
        <v>131</v>
      </c>
      <c r="F4" s="56" t="str">
        <f>VLOOKUP(E4,'Sovereign Ratings (Moody''s,S&amp;P)'!A4:D160,4,FALSE)</f>
        <v>B3</v>
      </c>
      <c r="G4" s="48">
        <v>6.2399999999999997E-2</v>
      </c>
      <c r="H4" s="48">
        <f t="shared" si="2"/>
        <v>6.6900000000000001E-2</v>
      </c>
      <c r="I4" s="72">
        <f t="shared" si="1"/>
        <v>7.2115384615384581E-2</v>
      </c>
      <c r="K4" s="46" t="s">
        <v>131</v>
      </c>
      <c r="L4" s="48">
        <v>6.6900000000000001E-2</v>
      </c>
      <c r="M4" s="46"/>
      <c r="N4" s="48"/>
    </row>
    <row r="5" spans="1:14" ht="16">
      <c r="A5" s="4" t="s">
        <v>44</v>
      </c>
      <c r="B5" s="155">
        <v>23.336791699920191</v>
      </c>
      <c r="C5" s="158">
        <f t="shared" si="0"/>
        <v>26.131717269259457</v>
      </c>
      <c r="D5" t="s">
        <v>559</v>
      </c>
      <c r="E5" s="46" t="s">
        <v>85</v>
      </c>
      <c r="F5" s="56" t="str">
        <f>VLOOKUP(E5,'Sovereign Ratings (Moody''s,S&amp;P)'!A5:D161,4,FALSE)</f>
        <v>Aaa</v>
      </c>
      <c r="G5" s="48">
        <v>1.9E-3</v>
      </c>
      <c r="H5" s="48">
        <f t="shared" si="2"/>
        <v>2.5000000000000001E-3</v>
      </c>
      <c r="I5" s="72">
        <f t="shared" si="1"/>
        <v>0.31578947368421062</v>
      </c>
      <c r="K5" s="46" t="s">
        <v>84</v>
      </c>
      <c r="L5" s="190">
        <v>6.2899999999999998E-2</v>
      </c>
      <c r="M5" s="46"/>
      <c r="N5" s="190"/>
    </row>
    <row r="6" spans="1:14" ht="16">
      <c r="A6" s="4" t="s">
        <v>45</v>
      </c>
      <c r="B6" s="155">
        <v>41.950485116082326</v>
      </c>
      <c r="C6" s="158">
        <f t="shared" si="0"/>
        <v>46.974675459158739</v>
      </c>
      <c r="E6" s="46" t="s">
        <v>173</v>
      </c>
      <c r="F6" s="56" t="str">
        <f>VLOOKUP(E6,'Sovereign Ratings (Moody''s,S&amp;P)'!A6:D162,4,FALSE)</f>
        <v>Aa1</v>
      </c>
      <c r="G6" s="48">
        <v>2.8E-3</v>
      </c>
      <c r="H6" s="48">
        <f t="shared" si="2"/>
        <v>3.0000000000000001E-3</v>
      </c>
      <c r="I6" s="72">
        <f t="shared" si="1"/>
        <v>7.1428571428571397E-2</v>
      </c>
      <c r="K6" s="46" t="s">
        <v>85</v>
      </c>
      <c r="L6" s="48">
        <v>2.5000000000000001E-3</v>
      </c>
      <c r="M6" s="46"/>
      <c r="N6" s="48"/>
    </row>
    <row r="7" spans="1:14" ht="16">
      <c r="A7" s="4" t="s">
        <v>46</v>
      </c>
      <c r="B7" s="155">
        <v>50.939874783814261</v>
      </c>
      <c r="C7" s="158">
        <f t="shared" si="0"/>
        <v>57.040677343264193</v>
      </c>
      <c r="E7" s="46" t="s">
        <v>87</v>
      </c>
      <c r="F7" s="56" t="str">
        <f>VLOOKUP(E7,'Sovereign Ratings (Moody''s,S&amp;P)'!A7:D163,4,FALSE)</f>
        <v>B2</v>
      </c>
      <c r="G7" s="48">
        <v>2.47E-2</v>
      </c>
      <c r="H7" s="48">
        <f t="shared" si="2"/>
        <v>3.5200000000000002E-2</v>
      </c>
      <c r="I7" s="72">
        <f t="shared" si="1"/>
        <v>0.42510121457489891</v>
      </c>
      <c r="K7" s="46" t="s">
        <v>173</v>
      </c>
      <c r="L7" s="48">
        <v>3.0000000000000001E-3</v>
      </c>
      <c r="M7" s="46"/>
      <c r="N7" s="48"/>
    </row>
    <row r="8" spans="1:14" ht="16">
      <c r="A8" s="4" t="s">
        <v>47</v>
      </c>
      <c r="B8" s="155">
        <v>0</v>
      </c>
      <c r="C8" s="158">
        <f t="shared" si="0"/>
        <v>0</v>
      </c>
      <c r="E8" s="46" t="s">
        <v>174</v>
      </c>
      <c r="F8" s="56" t="str">
        <f>VLOOKUP(E8,'Sovereign Ratings (Moody''s,S&amp;P)'!A8:D164,4,FALSE)</f>
        <v>Aa3</v>
      </c>
      <c r="G8" s="48">
        <v>4.0000000000000001E-3</v>
      </c>
      <c r="H8" s="48">
        <f t="shared" si="2"/>
        <v>4.1999999999999997E-3</v>
      </c>
      <c r="I8" s="72">
        <f t="shared" si="1"/>
        <v>4.9999999999999822E-2</v>
      </c>
      <c r="K8" s="46" t="s">
        <v>87</v>
      </c>
      <c r="L8" s="48">
        <v>3.5200000000000002E-2</v>
      </c>
      <c r="M8" s="46"/>
      <c r="N8" s="48"/>
    </row>
    <row r="9" spans="1:14" ht="16">
      <c r="A9" s="4" t="s">
        <v>48</v>
      </c>
      <c r="B9" s="155">
        <v>382.54847141570309</v>
      </c>
      <c r="C9" s="158">
        <f t="shared" si="0"/>
        <v>428.36430240137611</v>
      </c>
      <c r="E9" s="46" t="s">
        <v>92</v>
      </c>
      <c r="F9" s="56" t="str">
        <f>VLOOKUP(E9,'Sovereign Ratings (Moody''s,S&amp;P)'!A9:D165,4,FALSE)</f>
        <v>Ba1</v>
      </c>
      <c r="G9" s="48">
        <v>2.35E-2</v>
      </c>
      <c r="H9" s="48">
        <f t="shared" si="2"/>
        <v>2.3900000000000001E-2</v>
      </c>
      <c r="I9" s="72">
        <f t="shared" si="1"/>
        <v>1.7021276595744705E-2</v>
      </c>
      <c r="K9" s="46" t="s">
        <v>174</v>
      </c>
      <c r="L9" s="48">
        <v>4.1999999999999997E-3</v>
      </c>
      <c r="M9" s="46"/>
      <c r="N9" s="48"/>
    </row>
    <row r="10" spans="1:14" ht="16">
      <c r="A10" s="4" t="s">
        <v>49</v>
      </c>
      <c r="B10" s="155">
        <v>467.44826272206024</v>
      </c>
      <c r="C10" s="158">
        <f t="shared" si="0"/>
        <v>523.43209797348311</v>
      </c>
      <c r="E10" s="46" t="s">
        <v>94</v>
      </c>
      <c r="F10" s="56" t="str">
        <f>VLOOKUP(E10,'Sovereign Ratings (Moody''s,S&amp;P)'!A10:D166,4,FALSE)</f>
        <v>Baa1</v>
      </c>
      <c r="G10" s="48">
        <v>7.7000000000000002E-3</v>
      </c>
      <c r="H10" s="48">
        <f t="shared" si="2"/>
        <v>7.7999999999999996E-3</v>
      </c>
      <c r="I10" s="72">
        <f t="shared" si="1"/>
        <v>1.298701298701288E-2</v>
      </c>
      <c r="K10" s="46" t="s">
        <v>92</v>
      </c>
      <c r="L10" s="48">
        <v>2.3900000000000001E-2</v>
      </c>
      <c r="M10" s="46"/>
      <c r="N10" s="48"/>
    </row>
    <row r="11" spans="1:14" ht="16">
      <c r="A11" s="4" t="s">
        <v>78</v>
      </c>
      <c r="B11" s="155">
        <v>552.34805402841732</v>
      </c>
      <c r="C11" s="158">
        <f t="shared" si="0"/>
        <v>618.49989354559011</v>
      </c>
      <c r="E11" s="46" t="s">
        <v>209</v>
      </c>
      <c r="F11" s="56" t="str">
        <f>VLOOKUP(E11,'Sovereign Ratings (Moody''s,S&amp;P)'!A11:D167,4,FALSE)</f>
        <v>Caa1</v>
      </c>
      <c r="G11" s="48">
        <v>6.8699999999999997E-2</v>
      </c>
      <c r="H11" s="48">
        <f t="shared" si="2"/>
        <v>7.3400000000000007E-2</v>
      </c>
      <c r="I11" s="72">
        <f t="shared" si="1"/>
        <v>6.8413391557496483E-2</v>
      </c>
      <c r="K11" s="46" t="s">
        <v>94</v>
      </c>
      <c r="L11" s="48">
        <v>7.7999999999999996E-3</v>
      </c>
      <c r="M11" s="46"/>
      <c r="N11" s="48"/>
    </row>
    <row r="12" spans="1:14" ht="16">
      <c r="A12" s="4" t="s">
        <v>79</v>
      </c>
      <c r="B12" s="155">
        <v>212.748888802989</v>
      </c>
      <c r="C12" s="158">
        <f t="shared" si="0"/>
        <v>238.22871125716225</v>
      </c>
      <c r="E12" s="46" t="s">
        <v>95</v>
      </c>
      <c r="F12" s="56" t="str">
        <f>VLOOKUP(E12,'Sovereign Ratings (Moody''s,S&amp;P)'!A12:D168,4,FALSE)</f>
        <v>Aaa</v>
      </c>
      <c r="G12" s="48">
        <v>3.3E-3</v>
      </c>
      <c r="H12" s="48">
        <f t="shared" si="2"/>
        <v>3.0000000000000001E-3</v>
      </c>
      <c r="I12" s="72">
        <f t="shared" si="1"/>
        <v>-9.0909090909090939E-2</v>
      </c>
      <c r="K12" s="46" t="s">
        <v>209</v>
      </c>
      <c r="L12" s="48">
        <v>7.3400000000000007E-2</v>
      </c>
      <c r="M12" s="46"/>
      <c r="N12" s="48"/>
    </row>
    <row r="13" spans="1:14" ht="16">
      <c r="A13" s="4" t="s">
        <v>80</v>
      </c>
      <c r="B13" s="155">
        <v>255.69819499326374</v>
      </c>
      <c r="C13" s="158">
        <f t="shared" si="0"/>
        <v>286.32183137011049</v>
      </c>
      <c r="E13" s="46" t="s">
        <v>96</v>
      </c>
      <c r="F13" s="56" t="str">
        <f>VLOOKUP(E13,'Sovereign Ratings (Moody''s,S&amp;P)'!A13:D169,4,FALSE)</f>
        <v>A2</v>
      </c>
      <c r="G13" s="48">
        <v>8.6999999999999994E-3</v>
      </c>
      <c r="H13" s="48">
        <f t="shared" si="2"/>
        <v>1.06E-2</v>
      </c>
      <c r="I13" s="72">
        <f t="shared" si="1"/>
        <v>0.21839080459770122</v>
      </c>
      <c r="K13" s="46" t="s">
        <v>95</v>
      </c>
      <c r="L13" s="48">
        <v>3.0000000000000001E-3</v>
      </c>
      <c r="M13" s="46"/>
      <c r="N13" s="48"/>
    </row>
    <row r="14" spans="1:14" ht="16">
      <c r="A14" s="4" t="s">
        <v>81</v>
      </c>
      <c r="B14" s="155">
        <v>305.63924870288554</v>
      </c>
      <c r="C14" s="158">
        <f t="shared" si="0"/>
        <v>342.24406405958513</v>
      </c>
      <c r="E14" s="46" t="s">
        <v>97</v>
      </c>
      <c r="F14" s="56" t="str">
        <f>VLOOKUP(E14,'Sovereign Ratings (Moody''s,S&amp;P)'!A14:D170,4,FALSE)</f>
        <v>A1</v>
      </c>
      <c r="G14" s="48">
        <v>6.4000000000000003E-3</v>
      </c>
      <c r="H14" s="48">
        <f t="shared" si="2"/>
        <v>7.7000000000000002E-3</v>
      </c>
      <c r="I14" s="72">
        <f t="shared" si="1"/>
        <v>0.203125</v>
      </c>
      <c r="K14" s="46" t="s">
        <v>96</v>
      </c>
      <c r="L14" s="48">
        <v>1.06E-2</v>
      </c>
      <c r="M14" s="46"/>
      <c r="N14" s="48"/>
    </row>
    <row r="15" spans="1:14" ht="16">
      <c r="A15" s="4" t="s">
        <v>82</v>
      </c>
      <c r="B15" s="155">
        <v>135.83966609017133</v>
      </c>
      <c r="C15" s="158">
        <f t="shared" si="0"/>
        <v>152.10847291537115</v>
      </c>
      <c r="E15" s="46" t="s">
        <v>50</v>
      </c>
      <c r="F15" s="56" t="str">
        <f>VLOOKUP(E15,'Sovereign Ratings (Moody''s,S&amp;P)'!A15:D171,4,FALSE)</f>
        <v>Baa3</v>
      </c>
      <c r="G15" s="48">
        <v>3.3399999999999999E-2</v>
      </c>
      <c r="H15" s="48">
        <f t="shared" si="2"/>
        <v>3.4299999999999997E-2</v>
      </c>
      <c r="I15" s="72">
        <f t="shared" si="1"/>
        <v>2.6946107784431073E-2</v>
      </c>
      <c r="K15" s="46" t="s">
        <v>97</v>
      </c>
      <c r="L15" s="48">
        <v>7.7000000000000002E-3</v>
      </c>
      <c r="M15" s="46"/>
      <c r="N15" s="48"/>
    </row>
    <row r="16" spans="1:14" ht="16">
      <c r="A16" s="4" t="s">
        <v>83</v>
      </c>
      <c r="B16" s="155">
        <v>161.80901401917473</v>
      </c>
      <c r="C16" s="158">
        <f t="shared" si="0"/>
        <v>181.18803391389804</v>
      </c>
      <c r="E16" s="46" t="s">
        <v>56</v>
      </c>
      <c r="F16" s="56" t="str">
        <f>VLOOKUP(E16,'Sovereign Ratings (Moody''s,S&amp;P)'!A16:D172,4,FALSE)</f>
        <v>Ba2</v>
      </c>
      <c r="G16" s="48">
        <v>1.7500000000000002E-2</v>
      </c>
      <c r="H16" s="48">
        <f t="shared" si="2"/>
        <v>2.24E-2</v>
      </c>
      <c r="I16" s="72">
        <f t="shared" si="1"/>
        <v>0.2799999999999998</v>
      </c>
      <c r="K16" s="46" t="s">
        <v>50</v>
      </c>
      <c r="L16" s="48">
        <v>3.4299999999999997E-2</v>
      </c>
      <c r="M16" s="46"/>
      <c r="N16" s="48"/>
    </row>
    <row r="17" spans="1:14" ht="16">
      <c r="A17" s="4" t="s">
        <v>124</v>
      </c>
      <c r="B17" s="155">
        <v>186.77954087398564</v>
      </c>
      <c r="C17" s="158">
        <f t="shared" si="0"/>
        <v>209.14915025863539</v>
      </c>
      <c r="E17" s="46" t="s">
        <v>98</v>
      </c>
      <c r="F17" s="56" t="str">
        <f>VLOOKUP(E17,'Sovereign Ratings (Moody''s,S&amp;P)'!A17:D173,4,FALSE)</f>
        <v>A3</v>
      </c>
      <c r="G17" s="48">
        <v>1.0200000000000001E-2</v>
      </c>
      <c r="H17" s="48">
        <f t="shared" si="2"/>
        <v>9.4999999999999998E-3</v>
      </c>
      <c r="I17" s="72">
        <f t="shared" si="1"/>
        <v>-6.8627450980392246E-2</v>
      </c>
      <c r="K17" s="46" t="s">
        <v>56</v>
      </c>
      <c r="L17" s="48">
        <v>2.24E-2</v>
      </c>
      <c r="M17" s="46"/>
      <c r="N17" s="48"/>
    </row>
    <row r="18" spans="1:14" ht="16">
      <c r="A18" s="4" t="s">
        <v>335</v>
      </c>
      <c r="B18" s="155">
        <v>1019.7963167504777</v>
      </c>
      <c r="C18" s="158">
        <f t="shared" si="0"/>
        <v>1141.9319915190733</v>
      </c>
      <c r="E18" s="46" t="s">
        <v>175</v>
      </c>
      <c r="F18" s="56" t="str">
        <f>VLOOKUP(E18,'Sovereign Ratings (Moody''s,S&amp;P)'!A18:D174,4,FALSE)</f>
        <v>A3</v>
      </c>
      <c r="G18" s="48">
        <v>7.4999999999999997E-3</v>
      </c>
      <c r="H18" s="48">
        <f t="shared" si="2"/>
        <v>6.7000000000000002E-3</v>
      </c>
      <c r="I18" s="72">
        <f t="shared" si="1"/>
        <v>-0.10666666666666658</v>
      </c>
      <c r="K18" s="46" t="s">
        <v>98</v>
      </c>
      <c r="L18" s="48">
        <v>9.4999999999999998E-3</v>
      </c>
      <c r="M18" s="46"/>
      <c r="N18" s="48"/>
    </row>
    <row r="19" spans="1:14" ht="16">
      <c r="A19" s="4" t="s">
        <v>100</v>
      </c>
      <c r="B19" s="155">
        <v>637.24784533477441</v>
      </c>
      <c r="C19" s="158">
        <f t="shared" si="0"/>
        <v>713.56768911769711</v>
      </c>
      <c r="E19" s="46" t="s">
        <v>101</v>
      </c>
      <c r="F19" s="56" t="str">
        <f>VLOOKUP(E19,'Sovereign Ratings (Moody''s,S&amp;P)'!A19:D175,4,FALSE)</f>
        <v>Aa3</v>
      </c>
      <c r="G19" s="48">
        <v>4.7999999999999996E-3</v>
      </c>
      <c r="H19" s="48">
        <f t="shared" si="2"/>
        <v>5.1000000000000004E-3</v>
      </c>
      <c r="I19" s="72">
        <f t="shared" si="1"/>
        <v>6.2500000000000222E-2</v>
      </c>
      <c r="K19" s="46" t="s">
        <v>175</v>
      </c>
      <c r="L19" s="48">
        <v>6.7000000000000002E-3</v>
      </c>
      <c r="M19" s="46"/>
      <c r="N19" s="48"/>
    </row>
    <row r="20" spans="1:14" ht="16">
      <c r="A20" s="4" t="s">
        <v>58</v>
      </c>
      <c r="B20" s="155">
        <v>765.09694283140618</v>
      </c>
      <c r="C20" s="158">
        <f t="shared" si="0"/>
        <v>856.72860480275222</v>
      </c>
      <c r="E20" s="46" t="s">
        <v>102</v>
      </c>
      <c r="F20" s="56" t="str">
        <f>VLOOKUP(E20,'Sovereign Ratings (Moody''s,S&amp;P)'!A20:D176,4,FALSE)</f>
        <v>Aaa</v>
      </c>
      <c r="G20" s="48">
        <v>1.8E-3</v>
      </c>
      <c r="H20" s="48">
        <f t="shared" si="2"/>
        <v>2E-3</v>
      </c>
      <c r="I20" s="72">
        <f t="shared" si="1"/>
        <v>0.11111111111111116</v>
      </c>
      <c r="K20" s="46" t="s">
        <v>101</v>
      </c>
      <c r="L20" s="48">
        <v>5.1000000000000004E-3</v>
      </c>
      <c r="M20" s="46"/>
      <c r="N20" s="48"/>
    </row>
    <row r="21" spans="1:14" ht="16">
      <c r="A21" s="4" t="s">
        <v>62</v>
      </c>
      <c r="B21" s="155">
        <v>849.9967341377635</v>
      </c>
      <c r="C21" s="158">
        <f t="shared" si="0"/>
        <v>951.79640037485945</v>
      </c>
      <c r="E21" s="46" t="s">
        <v>433</v>
      </c>
      <c r="F21" s="56" t="e">
        <f>VLOOKUP(E21,'Sovereign Ratings (Moody''s,S&amp;P)'!A21:D177,4,FALSE)</f>
        <v>#N/A</v>
      </c>
      <c r="G21" s="48">
        <v>8.2000000000000007E-3</v>
      </c>
      <c r="H21" s="48">
        <f t="shared" si="2"/>
        <v>1.32E-2</v>
      </c>
      <c r="I21" s="72">
        <f t="shared" si="1"/>
        <v>0.60975609756097549</v>
      </c>
      <c r="K21" s="46" t="s">
        <v>102</v>
      </c>
      <c r="L21" s="48">
        <v>2E-3</v>
      </c>
      <c r="M21" s="46"/>
      <c r="N21" s="48"/>
    </row>
    <row r="22" spans="1:14" ht="16">
      <c r="A22" s="116" t="s">
        <v>272</v>
      </c>
      <c r="B22" s="25" t="s">
        <v>143</v>
      </c>
      <c r="C22" s="159" t="s">
        <v>143</v>
      </c>
      <c r="E22" s="46" t="s">
        <v>104</v>
      </c>
      <c r="F22" s="56" t="str">
        <f>VLOOKUP(E22,'Sovereign Ratings (Moody''s,S&amp;P)'!A22:D178,4,FALSE)</f>
        <v>Caa3</v>
      </c>
      <c r="G22" s="48">
        <v>5.67E-2</v>
      </c>
      <c r="H22" s="48">
        <f t="shared" si="2"/>
        <v>5.8500000000000003E-2</v>
      </c>
      <c r="I22" s="72">
        <f t="shared" si="1"/>
        <v>3.1746031746031855E-2</v>
      </c>
      <c r="K22" s="46" t="s">
        <v>433</v>
      </c>
      <c r="L22" s="48">
        <v>1.32E-2</v>
      </c>
      <c r="M22" s="46"/>
      <c r="N22" s="48"/>
    </row>
    <row r="23" spans="1:14" ht="16">
      <c r="E23" s="46" t="s">
        <v>105</v>
      </c>
      <c r="F23" s="56" t="str">
        <f>VLOOKUP(E23,'Sovereign Ratings (Moody''s,S&amp;P)'!A23:D179,4,FALSE)</f>
        <v>Caa1</v>
      </c>
      <c r="G23" s="48">
        <v>3.5499999999999997E-2</v>
      </c>
      <c r="H23" s="48">
        <f t="shared" si="2"/>
        <v>5.1499999999999997E-2</v>
      </c>
      <c r="I23" s="72">
        <f t="shared" si="1"/>
        <v>0.45070422535211274</v>
      </c>
      <c r="K23" s="215" t="s">
        <v>104</v>
      </c>
      <c r="L23" s="190">
        <v>5.8500000000000003E-2</v>
      </c>
      <c r="M23" s="215"/>
      <c r="N23" s="190"/>
    </row>
    <row r="24" spans="1:14" ht="16">
      <c r="E24" s="46" t="s">
        <v>31</v>
      </c>
      <c r="F24" s="56" t="str">
        <f>VLOOKUP(E24,'Sovereign Ratings (Moody''s,S&amp;P)'!A24:D180,4,FALSE)</f>
        <v>B3</v>
      </c>
      <c r="G24" s="48">
        <v>3.4000000000000002E-2</v>
      </c>
      <c r="H24" s="48">
        <f t="shared" si="2"/>
        <v>4.9700000000000001E-2</v>
      </c>
      <c r="I24" s="72">
        <f t="shared" si="1"/>
        <v>0.46176470588235285</v>
      </c>
      <c r="K24" s="134" t="s">
        <v>105</v>
      </c>
      <c r="L24" s="48">
        <v>5.1499999999999997E-2</v>
      </c>
      <c r="M24" s="134"/>
      <c r="N24" s="48"/>
    </row>
    <row r="25" spans="1:14" ht="16">
      <c r="E25" s="46" t="s">
        <v>106</v>
      </c>
      <c r="F25" s="56" t="str">
        <f>VLOOKUP(E25,'Sovereign Ratings (Moody''s,S&amp;P)'!A25:D181,4,FALSE)</f>
        <v>A1</v>
      </c>
      <c r="G25" s="48">
        <v>0.01</v>
      </c>
      <c r="H25" s="48">
        <f t="shared" si="2"/>
        <v>9.5999999999999992E-3</v>
      </c>
      <c r="I25" s="72">
        <f t="shared" si="1"/>
        <v>-4.0000000000000147E-2</v>
      </c>
      <c r="K25" s="46" t="s">
        <v>31</v>
      </c>
      <c r="L25" s="48">
        <v>4.9700000000000001E-2</v>
      </c>
      <c r="M25" s="46"/>
      <c r="N25" s="48"/>
    </row>
    <row r="26" spans="1:14" ht="16">
      <c r="E26" s="46" t="s">
        <v>176</v>
      </c>
      <c r="F26" s="56" t="str">
        <f>VLOOKUP(E26,'Sovereign Ratings (Moody''s,S&amp;P)'!A26:D182,4,FALSE)</f>
        <v>Aa1</v>
      </c>
      <c r="G26" s="48">
        <v>2.5999999999999999E-3</v>
      </c>
      <c r="H26" s="48">
        <f t="shared" si="2"/>
        <v>2.8999999999999998E-3</v>
      </c>
      <c r="I26" s="72">
        <f t="shared" si="1"/>
        <v>0.11538461538461542</v>
      </c>
      <c r="K26" s="46" t="s">
        <v>106</v>
      </c>
      <c r="L26" s="48">
        <v>9.5999999999999992E-3</v>
      </c>
      <c r="M26" s="46"/>
      <c r="N26" s="48"/>
    </row>
    <row r="27" spans="1:14" ht="16">
      <c r="E27" s="46" t="s">
        <v>177</v>
      </c>
      <c r="F27" s="56" t="str">
        <f>VLOOKUP(E27,'Sovereign Ratings (Moody''s,S&amp;P)'!A27:D183,4,FALSE)</f>
        <v>Aa3</v>
      </c>
      <c r="G27" s="48">
        <v>6.4000000000000003E-3</v>
      </c>
      <c r="H27" s="48">
        <f t="shared" si="2"/>
        <v>6.7000000000000002E-3</v>
      </c>
      <c r="I27" s="72">
        <f t="shared" si="1"/>
        <v>4.6875E-2</v>
      </c>
      <c r="K27" s="46" t="s">
        <v>279</v>
      </c>
      <c r="L27" s="190" t="s">
        <v>143</v>
      </c>
      <c r="M27" s="46"/>
      <c r="N27" s="190"/>
    </row>
    <row r="28" spans="1:14" ht="16">
      <c r="E28" s="46" t="s">
        <v>178</v>
      </c>
      <c r="F28" s="56" t="str">
        <f>VLOOKUP(E28,'Sovereign Ratings (Moody''s,S&amp;P)'!A28:D184,4,FALSE)</f>
        <v>Aaa</v>
      </c>
      <c r="G28" s="48">
        <v>2.0999999999999999E-3</v>
      </c>
      <c r="H28" s="48">
        <f t="shared" si="2"/>
        <v>2.0999999999999999E-3</v>
      </c>
      <c r="I28" s="72">
        <f t="shared" si="1"/>
        <v>0</v>
      </c>
      <c r="K28" s="46" t="s">
        <v>176</v>
      </c>
      <c r="L28" s="48">
        <v>2.8999999999999998E-3</v>
      </c>
      <c r="M28" s="46"/>
      <c r="N28" s="48"/>
    </row>
    <row r="29" spans="1:14" ht="16">
      <c r="E29" s="46" t="s">
        <v>179</v>
      </c>
      <c r="F29" s="56" t="str">
        <f>VLOOKUP(E29,'Sovereign Ratings (Moody''s,S&amp;P)'!A29:D185,4,FALSE)</f>
        <v>Baa3</v>
      </c>
      <c r="G29" s="48">
        <v>7.4999999999999997E-3</v>
      </c>
      <c r="H29" s="48">
        <f t="shared" si="2"/>
        <v>7.9000000000000008E-3</v>
      </c>
      <c r="I29" s="72">
        <f t="shared" si="1"/>
        <v>5.3333333333333455E-2</v>
      </c>
      <c r="K29" s="46" t="s">
        <v>177</v>
      </c>
      <c r="L29" s="48">
        <v>6.7000000000000002E-3</v>
      </c>
      <c r="M29" s="46"/>
      <c r="N29" s="48"/>
    </row>
    <row r="30" spans="1:14" ht="16">
      <c r="E30" s="46" t="s">
        <v>107</v>
      </c>
      <c r="F30" s="56" t="str">
        <f>VLOOKUP(E30,'Sovereign Ratings (Moody''s,S&amp;P)'!A30:D186,4,FALSE)</f>
        <v>Ba1</v>
      </c>
      <c r="G30" s="48">
        <v>1.7100000000000001E-2</v>
      </c>
      <c r="H30" s="48">
        <f t="shared" si="2"/>
        <v>2.0199999999999999E-2</v>
      </c>
      <c r="I30" s="72">
        <f t="shared" si="1"/>
        <v>0.18128654970760216</v>
      </c>
      <c r="K30" s="46" t="s">
        <v>217</v>
      </c>
      <c r="L30" s="48">
        <v>7.7100000000000002E-2</v>
      </c>
      <c r="M30" s="46"/>
      <c r="N30" s="48"/>
    </row>
    <row r="31" spans="1:14" ht="16">
      <c r="E31" s="46" t="s">
        <v>59</v>
      </c>
      <c r="F31" s="56" t="str">
        <f>VLOOKUP(E31,'Sovereign Ratings (Moody''s,S&amp;P)'!A31:D187,4,FALSE)</f>
        <v>Aa3</v>
      </c>
      <c r="G31" s="48">
        <v>4.4000000000000003E-3</v>
      </c>
      <c r="H31" s="48">
        <f t="shared" si="2"/>
        <v>4.4999999999999997E-3</v>
      </c>
      <c r="I31" s="72">
        <f t="shared" si="1"/>
        <v>2.2727272727272485E-2</v>
      </c>
      <c r="K31" s="46" t="s">
        <v>178</v>
      </c>
      <c r="L31" s="48">
        <v>2.0999999999999999E-3</v>
      </c>
      <c r="M31" s="46"/>
      <c r="N31" s="48"/>
    </row>
    <row r="32" spans="1:14" ht="16">
      <c r="E32" s="46" t="s">
        <v>109</v>
      </c>
      <c r="F32" s="56" t="str">
        <f>VLOOKUP(E32,'Sovereign Ratings (Moody''s,S&amp;P)'!A32:D188,4,FALSE)</f>
        <v>Baa2</v>
      </c>
      <c r="G32" s="48">
        <v>1.6E-2</v>
      </c>
      <c r="H32" s="48">
        <f t="shared" si="2"/>
        <v>1.6899999999999998E-2</v>
      </c>
      <c r="I32" s="72">
        <f t="shared" si="1"/>
        <v>5.6249999999999911E-2</v>
      </c>
      <c r="K32" s="46" t="s">
        <v>179</v>
      </c>
      <c r="L32" s="48">
        <v>7.9000000000000008E-3</v>
      </c>
      <c r="M32" s="46"/>
      <c r="N32" s="48"/>
    </row>
    <row r="33" spans="5:14" ht="16">
      <c r="E33" s="46" t="s">
        <v>110</v>
      </c>
      <c r="F33" s="56" t="str">
        <f>VLOOKUP(E33,'Sovereign Ratings (Moody''s,S&amp;P)'!A33:D189,4,FALSE)</f>
        <v>A1</v>
      </c>
      <c r="G33" s="48">
        <v>4.4999999999999997E-3</v>
      </c>
      <c r="H33" s="48">
        <f t="shared" si="2"/>
        <v>4.1999999999999997E-3</v>
      </c>
      <c r="I33" s="72">
        <f t="shared" si="1"/>
        <v>-6.6666666666666652E-2</v>
      </c>
      <c r="K33" s="46" t="s">
        <v>107</v>
      </c>
      <c r="L33" s="48">
        <v>2.0199999999999999E-2</v>
      </c>
      <c r="M33" s="46"/>
      <c r="N33" s="48"/>
    </row>
    <row r="34" spans="5:14" ht="16">
      <c r="E34" s="46" t="s">
        <v>111</v>
      </c>
      <c r="F34" s="56" t="str">
        <f>VLOOKUP(E34,'Sovereign Ratings (Moody''s,S&amp;P)'!A34:D190,4,FALSE)</f>
        <v>Baa3</v>
      </c>
      <c r="G34" s="48">
        <v>8.0000000000000002E-3</v>
      </c>
      <c r="H34" s="48">
        <f t="shared" si="2"/>
        <v>1.0200000000000001E-2</v>
      </c>
      <c r="I34" s="72">
        <f t="shared" si="1"/>
        <v>0.27500000000000013</v>
      </c>
      <c r="K34" s="46" t="s">
        <v>59</v>
      </c>
      <c r="L34" s="48">
        <v>4.4999999999999997E-3</v>
      </c>
      <c r="M34" s="46"/>
      <c r="N34" s="48"/>
    </row>
    <row r="35" spans="5:14" ht="16">
      <c r="E35" s="46" t="s">
        <v>112</v>
      </c>
      <c r="F35" s="56" t="str">
        <f>VLOOKUP(E35,'Sovereign Ratings (Moody''s,S&amp;P)'!A35:D191,4,FALSE)</f>
        <v>Baa2</v>
      </c>
      <c r="G35" s="48">
        <v>1.1900000000000001E-2</v>
      </c>
      <c r="H35" s="48">
        <f t="shared" si="2"/>
        <v>1.5900000000000001E-2</v>
      </c>
      <c r="I35" s="72">
        <f t="shared" si="1"/>
        <v>0.33613445378151252</v>
      </c>
      <c r="K35" s="46" t="s">
        <v>109</v>
      </c>
      <c r="L35" s="48">
        <v>1.6899999999999998E-2</v>
      </c>
      <c r="M35" s="46"/>
      <c r="N35" s="48"/>
    </row>
    <row r="36" spans="5:14" ht="16">
      <c r="E36" s="46" t="s">
        <v>323</v>
      </c>
      <c r="F36" s="56" t="str">
        <f>VLOOKUP(E36,'Sovereign Ratings (Moody''s,S&amp;P)'!A36:D192,4,FALSE)</f>
        <v>Caa1</v>
      </c>
      <c r="G36" s="48">
        <v>2.8899999999999999E-2</v>
      </c>
      <c r="H36" s="48">
        <f t="shared" si="2"/>
        <v>5.8799999999999998E-2</v>
      </c>
      <c r="I36" s="72">
        <f t="shared" si="1"/>
        <v>1.0346020761245676</v>
      </c>
      <c r="K36" s="46" t="s">
        <v>110</v>
      </c>
      <c r="L36" s="48">
        <v>4.1999999999999997E-3</v>
      </c>
      <c r="M36" s="46"/>
      <c r="N36" s="48"/>
    </row>
    <row r="37" spans="5:14" ht="16">
      <c r="E37" s="46" t="s">
        <v>180</v>
      </c>
      <c r="F37" s="56" t="str">
        <f>VLOOKUP(E37,'Sovereign Ratings (Moody''s,S&amp;P)'!A37:D193,4,FALSE)</f>
        <v>Aa3</v>
      </c>
      <c r="G37" s="48">
        <v>3.3999999999999998E-3</v>
      </c>
      <c r="H37" s="48">
        <f t="shared" si="2"/>
        <v>3.0999999999999999E-3</v>
      </c>
      <c r="I37" s="72">
        <f t="shared" si="1"/>
        <v>-8.8235294117647078E-2</v>
      </c>
      <c r="K37" s="46" t="s">
        <v>111</v>
      </c>
      <c r="L37" s="48">
        <v>1.0200000000000001E-2</v>
      </c>
      <c r="M37" s="46"/>
      <c r="N37" s="48"/>
    </row>
    <row r="38" spans="5:14" ht="16">
      <c r="E38" s="46" t="s">
        <v>114</v>
      </c>
      <c r="F38" s="56" t="str">
        <f>VLOOKUP(E38,'Sovereign Ratings (Moody''s,S&amp;P)'!A38:D194,4,FALSE)</f>
        <v>Baa1</v>
      </c>
      <c r="G38" s="48">
        <v>1.1299999999999999E-2</v>
      </c>
      <c r="H38" s="48">
        <f t="shared" si="2"/>
        <v>1.2500000000000001E-2</v>
      </c>
      <c r="I38" s="72">
        <f t="shared" si="1"/>
        <v>0.10619469026548689</v>
      </c>
      <c r="K38" s="46" t="s">
        <v>112</v>
      </c>
      <c r="L38" s="48">
        <v>1.5900000000000001E-2</v>
      </c>
      <c r="M38" s="46"/>
      <c r="N38" s="48"/>
    </row>
    <row r="39" spans="5:14" ht="16">
      <c r="E39" s="46" t="s">
        <v>144</v>
      </c>
      <c r="F39" s="56" t="str">
        <f>VLOOKUP(E39,'Sovereign Ratings (Moody''s,S&amp;P)'!A39:D195,4,FALSE)</f>
        <v>Baa2</v>
      </c>
      <c r="G39" s="48">
        <v>6.1000000000000004E-3</v>
      </c>
      <c r="H39" s="48">
        <f t="shared" si="2"/>
        <v>7.1999999999999998E-3</v>
      </c>
      <c r="I39" s="72">
        <f t="shared" si="1"/>
        <v>0.18032786885245899</v>
      </c>
      <c r="K39" s="46" t="s">
        <v>323</v>
      </c>
      <c r="L39" s="48">
        <v>5.8799999999999998E-2</v>
      </c>
      <c r="M39" s="46"/>
      <c r="N39" s="48"/>
    </row>
    <row r="40" spans="5:14" ht="16">
      <c r="E40" s="46" t="s">
        <v>116</v>
      </c>
      <c r="F40" s="56" t="str">
        <f>VLOOKUP(E40,'Sovereign Ratings (Moody''s,S&amp;P)'!A40:D196,4,FALSE)</f>
        <v>A1</v>
      </c>
      <c r="G40" s="48">
        <v>4.4000000000000003E-3</v>
      </c>
      <c r="H40" s="48">
        <f t="shared" si="2"/>
        <v>5.1000000000000004E-3</v>
      </c>
      <c r="I40" s="72">
        <f t="shared" si="1"/>
        <v>0.15909090909090917</v>
      </c>
      <c r="K40" s="46" t="s">
        <v>180</v>
      </c>
      <c r="L40" s="48">
        <v>3.0999999999999999E-3</v>
      </c>
      <c r="M40" s="46"/>
      <c r="N40" s="48"/>
    </row>
    <row r="41" spans="5:14" ht="16">
      <c r="E41" s="46" t="s">
        <v>118</v>
      </c>
      <c r="F41" s="56" t="str">
        <f>VLOOKUP(E41,'Sovereign Ratings (Moody''s,S&amp;P)'!A41:D197,4,FALSE)</f>
        <v>Baa1</v>
      </c>
      <c r="G41" s="48">
        <v>1.3100000000000001E-2</v>
      </c>
      <c r="H41" s="48">
        <f t="shared" si="2"/>
        <v>1.6299999999999999E-2</v>
      </c>
      <c r="I41" s="72">
        <f t="shared" si="1"/>
        <v>0.24427480916030508</v>
      </c>
      <c r="K41" s="46" t="s">
        <v>114</v>
      </c>
      <c r="L41" s="48">
        <v>1.2500000000000001E-2</v>
      </c>
      <c r="M41" s="46"/>
      <c r="N41" s="48"/>
    </row>
    <row r="42" spans="5:14" ht="16">
      <c r="E42" s="46" t="s">
        <v>181</v>
      </c>
      <c r="F42" s="56" t="str">
        <f>VLOOKUP(E42,'Sovereign Ratings (Moody''s,S&amp;P)'!A42:D198,4,FALSE)</f>
        <v>B3</v>
      </c>
      <c r="G42" s="48">
        <v>4.5100000000000001E-2</v>
      </c>
      <c r="H42" s="48">
        <f t="shared" si="2"/>
        <v>5.9799999999999999E-2</v>
      </c>
      <c r="I42" s="72">
        <f t="shared" si="1"/>
        <v>0.32594235033259422</v>
      </c>
      <c r="K42" s="46" t="s">
        <v>144</v>
      </c>
      <c r="L42" s="48">
        <v>7.1999999999999998E-3</v>
      </c>
      <c r="M42" s="46"/>
      <c r="N42" s="48"/>
    </row>
    <row r="43" spans="5:14" ht="16">
      <c r="E43" s="46" t="s">
        <v>119</v>
      </c>
      <c r="F43" s="56" t="str">
        <f>VLOOKUP(E43,'Sovereign Ratings (Moody''s,S&amp;P)'!A43:D199,4,FALSE)</f>
        <v>Aa2</v>
      </c>
      <c r="G43" s="48">
        <v>3.3999999999999998E-3</v>
      </c>
      <c r="H43" s="48">
        <f t="shared" si="2"/>
        <v>5.0000000000000001E-3</v>
      </c>
      <c r="I43" s="72">
        <f t="shared" si="1"/>
        <v>0.47058823529411775</v>
      </c>
      <c r="K43" s="46" t="s">
        <v>116</v>
      </c>
      <c r="L43" s="48">
        <v>5.1000000000000004E-3</v>
      </c>
      <c r="M43" s="46"/>
      <c r="N43" s="48"/>
    </row>
    <row r="44" spans="5:14" ht="16">
      <c r="E44" s="46" t="s">
        <v>120</v>
      </c>
      <c r="F44" s="56" t="str">
        <f>VLOOKUP(E44,'Sovereign Ratings (Moody''s,S&amp;P)'!A44:D200,4,FALSE)</f>
        <v>A1</v>
      </c>
      <c r="G44" s="48">
        <v>8.6999999999999994E-3</v>
      </c>
      <c r="H44" s="48">
        <f t="shared" si="2"/>
        <v>1.03E-2</v>
      </c>
      <c r="I44" s="72">
        <f t="shared" si="1"/>
        <v>0.18390804597701149</v>
      </c>
      <c r="K44" s="46" t="s">
        <v>118</v>
      </c>
      <c r="L44" s="48">
        <v>1.6299999999999999E-2</v>
      </c>
      <c r="M44" s="46"/>
      <c r="N44" s="48"/>
    </row>
    <row r="45" spans="5:14" ht="16">
      <c r="E45" s="46" t="s">
        <v>121</v>
      </c>
      <c r="F45" s="56" t="str">
        <f>VLOOKUP(E45,'Sovereign Ratings (Moody''s,S&amp;P)'!A45:D201,4,FALSE)</f>
        <v>A3</v>
      </c>
      <c r="G45" s="48">
        <v>8.2000000000000007E-3</v>
      </c>
      <c r="H45" s="48">
        <f t="shared" si="2"/>
        <v>8.3000000000000001E-3</v>
      </c>
      <c r="I45" s="72">
        <f t="shared" si="1"/>
        <v>1.2195121951219523E-2</v>
      </c>
      <c r="K45" s="46" t="s">
        <v>181</v>
      </c>
      <c r="L45" s="48">
        <v>5.9799999999999999E-2</v>
      </c>
      <c r="M45" s="46"/>
      <c r="N45" s="48"/>
    </row>
    <row r="46" spans="5:14" ht="16">
      <c r="E46" s="46" t="s">
        <v>13</v>
      </c>
      <c r="F46" s="56" t="str">
        <f>VLOOKUP(E46,'Sovereign Ratings (Moody''s,S&amp;P)'!A46:D202,4,FALSE)</f>
        <v>A2</v>
      </c>
      <c r="G46" s="48">
        <v>8.2000000000000007E-3</v>
      </c>
      <c r="H46" s="48">
        <f t="shared" si="2"/>
        <v>8.2000000000000007E-3</v>
      </c>
      <c r="I46" s="72">
        <f t="shared" si="1"/>
        <v>0</v>
      </c>
      <c r="K46" s="46" t="s">
        <v>119</v>
      </c>
      <c r="L46" s="48">
        <v>5.0000000000000001E-3</v>
      </c>
      <c r="M46" s="46"/>
      <c r="N46" s="48"/>
    </row>
    <row r="47" spans="5:14" ht="16">
      <c r="E47" s="46" t="s">
        <v>14</v>
      </c>
      <c r="F47" s="56" t="str">
        <f>VLOOKUP(E47,'Sovereign Ratings (Moody''s,S&amp;P)'!A47:D203,4,FALSE)</f>
        <v>A3</v>
      </c>
      <c r="G47" s="48">
        <v>6.7000000000000002E-3</v>
      </c>
      <c r="H47" s="48">
        <f t="shared" si="2"/>
        <v>7.7999999999999996E-3</v>
      </c>
      <c r="I47" s="72">
        <f t="shared" si="1"/>
        <v>0.16417910447761175</v>
      </c>
      <c r="K47" s="46" t="s">
        <v>120</v>
      </c>
      <c r="L47" s="48">
        <v>1.03E-2</v>
      </c>
      <c r="M47" s="46"/>
      <c r="N47" s="48"/>
    </row>
    <row r="48" spans="5:14" ht="16">
      <c r="E48" s="46" t="s">
        <v>16</v>
      </c>
      <c r="F48" s="56" t="str">
        <f>VLOOKUP(E48,'Sovereign Ratings (Moody''s,S&amp;P)'!A48:D204,4,FALSE)</f>
        <v>Baa2</v>
      </c>
      <c r="G48" s="48">
        <v>1.66E-2</v>
      </c>
      <c r="H48" s="48">
        <f t="shared" si="2"/>
        <v>1.8599999999999998E-2</v>
      </c>
      <c r="I48" s="72">
        <f t="shared" si="1"/>
        <v>0.12048192771084332</v>
      </c>
      <c r="K48" s="46" t="s">
        <v>121</v>
      </c>
      <c r="L48" s="48">
        <v>8.3000000000000001E-3</v>
      </c>
      <c r="M48" s="46"/>
      <c r="N48" s="48"/>
    </row>
    <row r="49" spans="5:14" ht="16">
      <c r="E49" s="46" t="s">
        <v>18</v>
      </c>
      <c r="F49" s="56" t="str">
        <f>VLOOKUP(E49,'Sovereign Ratings (Moody''s,S&amp;P)'!A49:D205,4,FALSE)</f>
        <v>Ba1</v>
      </c>
      <c r="G49" s="48">
        <v>1.2999999999999999E-2</v>
      </c>
      <c r="H49" s="48">
        <f t="shared" si="2"/>
        <v>1.6E-2</v>
      </c>
      <c r="I49" s="72">
        <f t="shared" si="1"/>
        <v>0.23076923076923084</v>
      </c>
      <c r="K49" s="46" t="s">
        <v>122</v>
      </c>
      <c r="L49" s="48" t="s">
        <v>143</v>
      </c>
      <c r="M49" s="46"/>
      <c r="N49" s="48"/>
    </row>
    <row r="50" spans="5:14" ht="16">
      <c r="E50" s="46" t="s">
        <v>136</v>
      </c>
      <c r="F50" s="56" t="str">
        <f>VLOOKUP(E50,'Sovereign Ratings (Moody''s,S&amp;P)'!A50:D206,4,FALSE)</f>
        <v>B1</v>
      </c>
      <c r="G50" s="48">
        <v>3.4099999999999998E-2</v>
      </c>
      <c r="H50" s="48">
        <f t="shared" si="2"/>
        <v>3.6700000000000003E-2</v>
      </c>
      <c r="I50" s="72">
        <f t="shared" si="1"/>
        <v>7.6246334310850594E-2</v>
      </c>
      <c r="K50" s="46" t="s">
        <v>13</v>
      </c>
      <c r="L50" s="48">
        <v>8.2000000000000007E-3</v>
      </c>
      <c r="M50" s="46"/>
      <c r="N50" s="48"/>
    </row>
    <row r="51" spans="5:14" ht="16">
      <c r="E51" s="46" t="s">
        <v>184</v>
      </c>
      <c r="F51" s="56" t="str">
        <f>VLOOKUP(E51,'Sovereign Ratings (Moody''s,S&amp;P)'!A51:D207,4,FALSE)</f>
        <v>Aaa</v>
      </c>
      <c r="G51" s="48">
        <v>2E-3</v>
      </c>
      <c r="H51" s="48">
        <f t="shared" si="2"/>
        <v>2.0999999999999999E-3</v>
      </c>
      <c r="I51" s="72">
        <f t="shared" si="1"/>
        <v>4.9999999999999822E-2</v>
      </c>
      <c r="K51" s="46" t="s">
        <v>14</v>
      </c>
      <c r="L51" s="48">
        <v>7.7999999999999996E-3</v>
      </c>
      <c r="M51" s="46"/>
      <c r="N51" s="48"/>
    </row>
    <row r="52" spans="5:14" ht="16">
      <c r="E52" s="46" t="s">
        <v>21</v>
      </c>
      <c r="F52" s="56" t="str">
        <f>VLOOKUP(E52,'Sovereign Ratings (Moody''s,S&amp;P)'!A52:D208,4,FALSE)</f>
        <v>Aaa</v>
      </c>
      <c r="G52" s="48">
        <v>2.3E-3</v>
      </c>
      <c r="H52" s="48">
        <f t="shared" si="2"/>
        <v>2.7000000000000001E-3</v>
      </c>
      <c r="I52" s="72">
        <f t="shared" si="1"/>
        <v>0.17391304347826098</v>
      </c>
      <c r="K52" s="46" t="s">
        <v>16</v>
      </c>
      <c r="L52" s="48">
        <v>1.8599999999999998E-2</v>
      </c>
      <c r="M52" s="46"/>
      <c r="N52" s="48"/>
    </row>
    <row r="53" spans="5:14" ht="16">
      <c r="E53" s="46" t="s">
        <v>22</v>
      </c>
      <c r="F53" s="56" t="str">
        <f>VLOOKUP(E53,'Sovereign Ratings (Moody''s,S&amp;P)'!A53:D209,4,FALSE)</f>
        <v>B2</v>
      </c>
      <c r="G53" s="151">
        <v>5.2900000000000003E-2</v>
      </c>
      <c r="H53" s="48">
        <f t="shared" si="2"/>
        <v>6.5299999999999997E-2</v>
      </c>
      <c r="I53" s="72">
        <f t="shared" si="1"/>
        <v>0.23440453686200358</v>
      </c>
      <c r="K53" s="46" t="s">
        <v>63</v>
      </c>
      <c r="L53" s="48">
        <v>3.3099999999999997E-2</v>
      </c>
      <c r="M53" s="46"/>
      <c r="N53" s="48"/>
    </row>
    <row r="54" spans="5:14" ht="16">
      <c r="E54" s="46" t="s">
        <v>185</v>
      </c>
      <c r="F54" s="56" t="str">
        <f>VLOOKUP(E54,'Sovereign Ratings (Moody''s,S&amp;P)'!A54:D210,4,FALSE)</f>
        <v>B3</v>
      </c>
      <c r="G54" s="48">
        <v>3.9100000000000003E-2</v>
      </c>
      <c r="H54" s="48">
        <f t="shared" si="2"/>
        <v>4.6899999999999997E-2</v>
      </c>
      <c r="I54" s="72">
        <f t="shared" si="1"/>
        <v>0.19948849104859323</v>
      </c>
      <c r="K54" s="46" t="s">
        <v>18</v>
      </c>
      <c r="L54" s="48">
        <v>1.6E-2</v>
      </c>
      <c r="M54" s="46"/>
      <c r="N54" s="48"/>
    </row>
    <row r="55" spans="5:14" ht="16">
      <c r="E55" s="46" t="s">
        <v>23</v>
      </c>
      <c r="F55" s="56" t="str">
        <f>VLOOKUP(E55,'Sovereign Ratings (Moody''s,S&amp;P)'!A55:D211,4,FALSE)</f>
        <v>Aaa</v>
      </c>
      <c r="G55" s="48">
        <v>1.8E-3</v>
      </c>
      <c r="H55" s="48">
        <f t="shared" si="2"/>
        <v>1.8E-3</v>
      </c>
      <c r="I55" s="72">
        <f t="shared" si="1"/>
        <v>0</v>
      </c>
      <c r="K55" s="46" t="s">
        <v>136</v>
      </c>
      <c r="L55" s="48">
        <v>3.6700000000000003E-2</v>
      </c>
      <c r="M55" s="46"/>
      <c r="N55" s="48"/>
    </row>
    <row r="56" spans="5:14" ht="16">
      <c r="E56" s="46" t="s">
        <v>24</v>
      </c>
      <c r="F56" s="56" t="str">
        <f>VLOOKUP(E56,'Sovereign Ratings (Moody''s,S&amp;P)'!A56:D212,4,FALSE)</f>
        <v>Baa3</v>
      </c>
      <c r="G56" s="48">
        <v>1.2999999999999999E-2</v>
      </c>
      <c r="H56" s="48">
        <f t="shared" si="2"/>
        <v>1.5699999999999999E-2</v>
      </c>
      <c r="I56" s="72">
        <f t="shared" si="1"/>
        <v>0.20769230769230762</v>
      </c>
      <c r="K56" s="189" t="s">
        <v>184</v>
      </c>
      <c r="L56" s="190">
        <v>2.0999999999999999E-3</v>
      </c>
      <c r="M56" s="189"/>
      <c r="N56" s="190"/>
    </row>
    <row r="57" spans="5:14" ht="16">
      <c r="E57" s="46" t="s">
        <v>25</v>
      </c>
      <c r="F57" s="56" t="str">
        <f>VLOOKUP(E57,'Sovereign Ratings (Moody''s,S&amp;P)'!A57:D213,4,FALSE)</f>
        <v>Caa1</v>
      </c>
      <c r="G57" s="48">
        <v>5.2299999999999999E-2</v>
      </c>
      <c r="H57" s="48">
        <f t="shared" si="2"/>
        <v>6.8599999999999994E-2</v>
      </c>
      <c r="I57" s="72">
        <f>IF(H57="NA","NA",IF(G57="NA","NA",H57/G57-1))</f>
        <v>0.31166347992351806</v>
      </c>
      <c r="K57" s="46" t="s">
        <v>21</v>
      </c>
      <c r="L57" s="48">
        <v>2.7000000000000001E-3</v>
      </c>
      <c r="M57" s="46"/>
      <c r="N57" s="48"/>
    </row>
    <row r="58" spans="5:14" ht="16">
      <c r="E58" s="46" t="s">
        <v>26</v>
      </c>
      <c r="F58" s="56" t="str">
        <f>VLOOKUP(E58,'Sovereign Ratings (Moody''s,S&amp;P)'!A58:D214,4,FALSE)</f>
        <v>Baa3</v>
      </c>
      <c r="G58" s="48">
        <v>2.2200000000000001E-2</v>
      </c>
      <c r="H58" s="48">
        <f t="shared" si="2"/>
        <v>2.1999999999999999E-2</v>
      </c>
      <c r="I58" s="72">
        <f t="shared" ref="I58:I82" si="3">IF(H58="NA","NA",IF(G58="NA","NA",H58/G58-1))</f>
        <v>-9.009009009009139E-3</v>
      </c>
      <c r="K58" s="46" t="s">
        <v>22</v>
      </c>
      <c r="L58" s="48">
        <v>6.5299999999999997E-2</v>
      </c>
      <c r="M58" s="46"/>
      <c r="N58" s="48"/>
    </row>
    <row r="59" spans="5:14" ht="16">
      <c r="E59" s="46" t="s">
        <v>28</v>
      </c>
      <c r="F59" s="56" t="str">
        <f>VLOOKUP(E59,'Sovereign Ratings (Moody''s,S&amp;P)'!A59:D215,4,FALSE)</f>
        <v>Baa1</v>
      </c>
      <c r="G59" s="48">
        <v>1.26E-2</v>
      </c>
      <c r="H59" s="48">
        <f t="shared" si="2"/>
        <v>1.41E-2</v>
      </c>
      <c r="I59" s="72">
        <f t="shared" si="3"/>
        <v>0.11904761904761907</v>
      </c>
      <c r="K59" s="46" t="s">
        <v>185</v>
      </c>
      <c r="L59" s="48">
        <v>4.6899999999999997E-2</v>
      </c>
      <c r="M59" s="46"/>
      <c r="N59" s="48"/>
    </row>
    <row r="60" spans="5:14" ht="16">
      <c r="E60" s="46" t="s">
        <v>29</v>
      </c>
      <c r="F60" s="56" t="str">
        <f>VLOOKUP(E60,'Sovereign Ratings (Moody''s,S&amp;P)'!A60:D216,4,FALSE)</f>
        <v>Baa2</v>
      </c>
      <c r="G60" s="48">
        <v>1.0200000000000001E-2</v>
      </c>
      <c r="H60" s="48">
        <f t="shared" si="2"/>
        <v>1.3299999999999999E-2</v>
      </c>
      <c r="I60" s="72">
        <f t="shared" si="3"/>
        <v>0.30392156862745079</v>
      </c>
      <c r="K60" s="46" t="s">
        <v>23</v>
      </c>
      <c r="L60" s="48">
        <v>1.8E-3</v>
      </c>
      <c r="M60" s="46"/>
      <c r="N60" s="48"/>
    </row>
    <row r="61" spans="5:14" ht="16">
      <c r="E61" s="46" t="s">
        <v>30</v>
      </c>
      <c r="F61" s="56" t="str">
        <f>VLOOKUP(E61,'Sovereign Ratings (Moody''s,S&amp;P)'!A61:D217,4,FALSE)</f>
        <v>A2</v>
      </c>
      <c r="G61" s="48">
        <v>0.01</v>
      </c>
      <c r="H61" s="48">
        <f t="shared" si="2"/>
        <v>1.0699999999999999E-2</v>
      </c>
      <c r="I61" s="72">
        <f t="shared" si="3"/>
        <v>6.999999999999984E-2</v>
      </c>
      <c r="K61" s="46" t="s">
        <v>24</v>
      </c>
      <c r="L61" s="48">
        <v>1.5699999999999999E-2</v>
      </c>
      <c r="M61" s="46"/>
      <c r="N61" s="48"/>
    </row>
    <row r="62" spans="5:14" ht="16">
      <c r="E62" s="46" t="s">
        <v>186</v>
      </c>
      <c r="F62" s="56" t="str">
        <f>VLOOKUP(E62,'Sovereign Ratings (Moody''s,S&amp;P)'!A62:D218,4,FALSE)</f>
        <v>A3</v>
      </c>
      <c r="G62" s="48">
        <v>4.4999999999999997E-3</v>
      </c>
      <c r="H62" s="48">
        <f t="shared" si="2"/>
        <v>4.3E-3</v>
      </c>
      <c r="I62" s="72">
        <f t="shared" si="3"/>
        <v>-4.4444444444444398E-2</v>
      </c>
      <c r="K62" s="46" t="s">
        <v>25</v>
      </c>
      <c r="L62" s="151">
        <v>6.8599999999999994E-2</v>
      </c>
      <c r="M62" s="46"/>
      <c r="N62" s="151"/>
    </row>
    <row r="63" spans="5:14" ht="16">
      <c r="E63" s="46" t="s">
        <v>74</v>
      </c>
      <c r="F63" s="56" t="str">
        <f>VLOOKUP(E63,'Sovereign Ratings (Moody''s,S&amp;P)'!A63:D219,4,FALSE)</f>
        <v>Aa2</v>
      </c>
      <c r="G63" s="48">
        <v>6.1000000000000004E-3</v>
      </c>
      <c r="H63" s="48">
        <f t="shared" si="2"/>
        <v>8.9999999999999993E-3</v>
      </c>
      <c r="I63" s="72">
        <f t="shared" si="3"/>
        <v>0.47540983606557363</v>
      </c>
      <c r="K63" s="46" t="s">
        <v>26</v>
      </c>
      <c r="L63" s="48">
        <v>2.1999999999999999E-2</v>
      </c>
      <c r="M63" s="46"/>
      <c r="N63" s="48"/>
    </row>
    <row r="64" spans="5:14" ht="16">
      <c r="E64" s="46" t="s">
        <v>0</v>
      </c>
      <c r="F64" s="56" t="str">
        <f>VLOOKUP(E64,'Sovereign Ratings (Moody''s,S&amp;P)'!A64:D220,4,FALSE)</f>
        <v>Baa3</v>
      </c>
      <c r="G64" s="48">
        <v>2.1100000000000001E-2</v>
      </c>
      <c r="H64" s="48">
        <f t="shared" si="2"/>
        <v>2.4199999999999999E-2</v>
      </c>
      <c r="I64" s="72">
        <f t="shared" si="3"/>
        <v>0.1469194312796207</v>
      </c>
      <c r="K64" s="46" t="s">
        <v>28</v>
      </c>
      <c r="L64" s="48">
        <v>1.41E-2</v>
      </c>
      <c r="M64" s="46"/>
      <c r="N64" s="48"/>
    </row>
    <row r="65" spans="5:14" ht="16">
      <c r="E65" s="46" t="s">
        <v>1</v>
      </c>
      <c r="F65" s="56" t="s">
        <v>553</v>
      </c>
      <c r="G65" s="48" t="s">
        <v>143</v>
      </c>
      <c r="H65" s="48" t="str">
        <f t="shared" si="2"/>
        <v>NA</v>
      </c>
      <c r="I65" s="72" t="str">
        <f t="shared" si="3"/>
        <v>NA</v>
      </c>
      <c r="K65" s="46" t="s">
        <v>29</v>
      </c>
      <c r="L65" s="48">
        <v>1.3299999999999999E-2</v>
      </c>
      <c r="M65" s="46"/>
      <c r="N65" s="48"/>
    </row>
    <row r="66" spans="5:14" ht="16">
      <c r="E66" s="46" t="s">
        <v>224</v>
      </c>
      <c r="F66" s="56" t="str">
        <f>VLOOKUP(E66,'Sovereign Ratings (Moody''s,S&amp;P)'!A66:D222,4,FALSE)</f>
        <v>B2</v>
      </c>
      <c r="G66" s="48">
        <v>4.0300000000000002E-2</v>
      </c>
      <c r="H66" s="48">
        <f t="shared" si="2"/>
        <v>3.9399999999999998E-2</v>
      </c>
      <c r="I66" s="72">
        <f t="shared" si="3"/>
        <v>-2.2332506203474045E-2</v>
      </c>
      <c r="K66" s="46" t="s">
        <v>30</v>
      </c>
      <c r="L66" s="48">
        <v>1.0699999999999999E-2</v>
      </c>
      <c r="M66" s="46"/>
      <c r="N66" s="48"/>
    </row>
    <row r="67" spans="5:14" ht="16">
      <c r="E67" s="46" t="s">
        <v>2</v>
      </c>
      <c r="F67" s="56" t="str">
        <f>VLOOKUP(E67,'Sovereign Ratings (Moody''s,S&amp;P)'!A67:D223,4,FALSE)</f>
        <v>Aa3</v>
      </c>
      <c r="G67" s="48">
        <v>1.12E-2</v>
      </c>
      <c r="H67" s="48">
        <f t="shared" ref="H67:H82" si="4">VLOOKUP(E67,$K$2:$L$91,2,FALSE)</f>
        <v>1.2699999999999999E-2</v>
      </c>
      <c r="I67" s="72">
        <f t="shared" si="3"/>
        <v>0.1339285714285714</v>
      </c>
      <c r="K67" s="46" t="s">
        <v>186</v>
      </c>
      <c r="L67" s="48">
        <v>4.3E-3</v>
      </c>
      <c r="M67" s="46"/>
      <c r="N67" s="48"/>
    </row>
    <row r="68" spans="5:14" ht="16">
      <c r="E68" s="46" t="s">
        <v>135</v>
      </c>
      <c r="F68" s="56" t="str">
        <f>VLOOKUP(E68,'Sovereign Ratings (Moody''s,S&amp;P)'!A68:D224,4,FALSE)</f>
        <v>Caa1</v>
      </c>
      <c r="G68" s="48">
        <v>9.9299999999999999E-2</v>
      </c>
      <c r="H68" s="48">
        <f t="shared" si="4"/>
        <v>8.6999999999999994E-2</v>
      </c>
      <c r="I68" s="72">
        <f t="shared" si="3"/>
        <v>-0.12386706948640491</v>
      </c>
      <c r="K68" s="46" t="s">
        <v>74</v>
      </c>
      <c r="L68" s="48">
        <v>8.9999999999999993E-3</v>
      </c>
      <c r="M68" s="46"/>
      <c r="N68" s="48"/>
    </row>
    <row r="69" spans="5:14" ht="16">
      <c r="E69" s="46" t="s">
        <v>146</v>
      </c>
      <c r="F69" s="56" t="str">
        <f>VLOOKUP(E69,'Sovereign Ratings (Moody''s,S&amp;P)'!A69:D225,4,FALSE)</f>
        <v>Ba2</v>
      </c>
      <c r="G69" s="48">
        <v>1.9599999999999999E-2</v>
      </c>
      <c r="H69" s="48">
        <f t="shared" si="4"/>
        <v>2.12E-2</v>
      </c>
      <c r="I69" s="72">
        <f t="shared" si="3"/>
        <v>8.163265306122458E-2</v>
      </c>
      <c r="K69" s="46" t="s">
        <v>0</v>
      </c>
      <c r="L69" s="48">
        <v>2.4199999999999999E-2</v>
      </c>
      <c r="M69" s="46"/>
      <c r="N69" s="48"/>
    </row>
    <row r="70" spans="5:14" ht="16">
      <c r="E70" s="46" t="s">
        <v>61</v>
      </c>
      <c r="F70" s="56" t="str">
        <f>VLOOKUP(E70,'Sovereign Ratings (Moody''s,S&amp;P)'!A70:D226,4,FALSE)</f>
        <v>A3</v>
      </c>
      <c r="G70" s="48">
        <v>5.7000000000000002E-3</v>
      </c>
      <c r="H70" s="48">
        <f t="shared" si="4"/>
        <v>6.7999999999999996E-3</v>
      </c>
      <c r="I70" s="72">
        <f t="shared" si="3"/>
        <v>0.19298245614035081</v>
      </c>
      <c r="K70" s="46" t="s">
        <v>1</v>
      </c>
      <c r="L70" s="47" t="s">
        <v>143</v>
      </c>
      <c r="M70" s="46"/>
      <c r="N70" s="47"/>
    </row>
    <row r="71" spans="5:14" ht="16">
      <c r="E71" s="46" t="s">
        <v>187</v>
      </c>
      <c r="F71" s="56" t="str">
        <f>VLOOKUP(E71,'Sovereign Ratings (Moody''s,S&amp;P)'!A71:D227,4,FALSE)</f>
        <v>A2</v>
      </c>
      <c r="G71" s="48">
        <v>6.7000000000000002E-3</v>
      </c>
      <c r="H71" s="48">
        <f t="shared" si="4"/>
        <v>7.9000000000000008E-3</v>
      </c>
      <c r="I71" s="72">
        <f t="shared" si="3"/>
        <v>0.17910447761194037</v>
      </c>
      <c r="K71" s="46" t="s">
        <v>224</v>
      </c>
      <c r="L71" s="48">
        <v>3.9399999999999998E-2</v>
      </c>
      <c r="M71" s="46"/>
      <c r="N71" s="48"/>
    </row>
    <row r="72" spans="5:14" ht="16">
      <c r="E72" s="46" t="s">
        <v>76</v>
      </c>
      <c r="F72" s="56" t="str">
        <f>VLOOKUP(E72,'Sovereign Ratings (Moody''s,S&amp;P)'!A72:D228,4,FALSE)</f>
        <v>Ba2</v>
      </c>
      <c r="G72" s="48">
        <v>2.4E-2</v>
      </c>
      <c r="H72" s="48">
        <f t="shared" si="4"/>
        <v>3.04E-2</v>
      </c>
      <c r="I72" s="72">
        <f t="shared" si="3"/>
        <v>0.26666666666666661</v>
      </c>
      <c r="K72" s="46" t="s">
        <v>2</v>
      </c>
      <c r="L72" s="48">
        <v>1.2699999999999999E-2</v>
      </c>
      <c r="M72" s="46"/>
      <c r="N72" s="48"/>
    </row>
    <row r="73" spans="5:14" ht="16">
      <c r="E73" s="46" t="s">
        <v>138</v>
      </c>
      <c r="F73" s="56" t="str">
        <f>VLOOKUP(E73,'Sovereign Ratings (Moody''s,S&amp;P)'!A73:D229,4,FALSE)</f>
        <v>A3</v>
      </c>
      <c r="G73" s="48">
        <v>4.4999999999999997E-3</v>
      </c>
      <c r="H73" s="48">
        <f t="shared" si="4"/>
        <v>4.5999999999999999E-3</v>
      </c>
      <c r="I73" s="72">
        <f t="shared" si="3"/>
        <v>2.2222222222222365E-2</v>
      </c>
      <c r="K73" s="46" t="s">
        <v>135</v>
      </c>
      <c r="L73" s="48">
        <v>8.6999999999999994E-2</v>
      </c>
      <c r="M73" s="46"/>
      <c r="N73" s="48"/>
    </row>
    <row r="74" spans="5:14" ht="16">
      <c r="E74" s="46" t="s">
        <v>34</v>
      </c>
      <c r="F74" s="56" t="str">
        <f>VLOOKUP(E74,'Sovereign Ratings (Moody''s,S&amp;P)'!A74:D230,4,FALSE)</f>
        <v>Aaa</v>
      </c>
      <c r="G74" s="48">
        <v>2E-3</v>
      </c>
      <c r="H74" s="48">
        <f t="shared" si="4"/>
        <v>1.9E-3</v>
      </c>
      <c r="I74" s="72">
        <f t="shared" si="3"/>
        <v>-5.0000000000000044E-2</v>
      </c>
      <c r="K74" s="46" t="s">
        <v>146</v>
      </c>
      <c r="L74" s="48">
        <v>2.12E-2</v>
      </c>
      <c r="M74" s="46"/>
      <c r="N74" s="48"/>
    </row>
    <row r="75" spans="5:14" ht="16">
      <c r="E75" s="46" t="s">
        <v>35</v>
      </c>
      <c r="F75" s="56" t="str">
        <f>VLOOKUP(E75,'Sovereign Ratings (Moody''s,S&amp;P)'!A75:D231,4,FALSE)</f>
        <v>Aaa</v>
      </c>
      <c r="G75" s="48">
        <v>1.4E-3</v>
      </c>
      <c r="H75" s="48">
        <f t="shared" si="4"/>
        <v>1.6999999999999999E-3</v>
      </c>
      <c r="I75" s="72">
        <f t="shared" si="3"/>
        <v>0.21428571428571419</v>
      </c>
      <c r="K75" s="46" t="s">
        <v>61</v>
      </c>
      <c r="L75" s="48">
        <v>6.7999999999999996E-3</v>
      </c>
      <c r="M75" s="46"/>
      <c r="N75" s="48"/>
    </row>
    <row r="76" spans="5:14" ht="16">
      <c r="E76" s="46" t="s">
        <v>65</v>
      </c>
      <c r="F76" s="56" t="str">
        <f>VLOOKUP(E76,'Sovereign Ratings (Moody''s,S&amp;P)'!A76:D232,4,FALSE)</f>
        <v>Baa1</v>
      </c>
      <c r="G76" s="48">
        <v>6.6E-3</v>
      </c>
      <c r="H76" s="48">
        <f t="shared" si="4"/>
        <v>8.8999999999999999E-3</v>
      </c>
      <c r="I76" s="72">
        <f t="shared" si="3"/>
        <v>0.3484848484848484</v>
      </c>
      <c r="K76" s="46" t="s">
        <v>187</v>
      </c>
      <c r="L76" s="48">
        <v>7.9000000000000008E-3</v>
      </c>
      <c r="M76" s="46"/>
      <c r="N76" s="48"/>
    </row>
    <row r="77" spans="5:14" ht="16">
      <c r="E77" s="46" t="s">
        <v>77</v>
      </c>
      <c r="F77" s="56" t="str">
        <f>VLOOKUP(E77,'Sovereign Ratings (Moody''s,S&amp;P)'!A77:D233,4,FALSE)</f>
        <v>Caa1</v>
      </c>
      <c r="G77" s="48">
        <v>7.0099999999999996E-2</v>
      </c>
      <c r="H77" s="48">
        <f t="shared" si="4"/>
        <v>6.9400000000000003E-2</v>
      </c>
      <c r="I77" s="72">
        <f t="shared" si="3"/>
        <v>-9.9857346647644896E-3</v>
      </c>
      <c r="K77" s="46" t="s">
        <v>76</v>
      </c>
      <c r="L77" s="48">
        <v>3.04E-2</v>
      </c>
      <c r="M77" s="46"/>
      <c r="N77" s="48"/>
    </row>
    <row r="78" spans="5:14" ht="16">
      <c r="E78" s="46" t="s">
        <v>66</v>
      </c>
      <c r="F78" s="56" t="str">
        <f>VLOOKUP(E78,'Sovereign Ratings (Moody''s,S&amp;P)'!A78:D234,4,FALSE)</f>
        <v>Ba3</v>
      </c>
      <c r="G78" s="48">
        <v>2.9899999999999999E-2</v>
      </c>
      <c r="H78" s="48">
        <f t="shared" si="4"/>
        <v>4.0800000000000003E-2</v>
      </c>
      <c r="I78" s="72">
        <f t="shared" si="3"/>
        <v>0.36454849498327779</v>
      </c>
      <c r="K78" s="46" t="s">
        <v>138</v>
      </c>
      <c r="L78" s="48">
        <v>4.5999999999999999E-3</v>
      </c>
      <c r="M78" s="46"/>
      <c r="N78" s="48"/>
    </row>
    <row r="79" spans="5:14" ht="16">
      <c r="E79" s="46" t="s">
        <v>57</v>
      </c>
      <c r="F79" s="56" t="str">
        <f>VLOOKUP(E79,'Sovereign Ratings (Moody''s,S&amp;P)'!A79:D235,4,FALSE)</f>
        <v>Aa3</v>
      </c>
      <c r="G79" s="48">
        <v>3.7000000000000002E-3</v>
      </c>
      <c r="H79" s="48">
        <f t="shared" si="4"/>
        <v>4.1999999999999997E-3</v>
      </c>
      <c r="I79" s="72">
        <f t="shared" si="3"/>
        <v>0.13513513513513509</v>
      </c>
      <c r="K79" s="46" t="s">
        <v>134</v>
      </c>
      <c r="L79" s="48" t="s">
        <v>143</v>
      </c>
      <c r="M79" s="46"/>
      <c r="N79" s="48"/>
    </row>
    <row r="80" spans="5:14" ht="16">
      <c r="E80" s="46" t="s">
        <v>345</v>
      </c>
      <c r="F80" s="56" t="str">
        <f>VLOOKUP(E80,'Sovereign Ratings (Moody''s,S&amp;P)'!A80:D236,4,FALSE)</f>
        <v>Aa1</v>
      </c>
      <c r="G80" s="48">
        <v>4.4000000000000003E-3</v>
      </c>
      <c r="H80" s="48">
        <f t="shared" si="4"/>
        <v>5.7000000000000002E-3</v>
      </c>
      <c r="I80" s="72">
        <f t="shared" si="3"/>
        <v>0.29545454545454541</v>
      </c>
      <c r="K80" s="46" t="s">
        <v>34</v>
      </c>
      <c r="L80" s="48">
        <v>1.9E-3</v>
      </c>
      <c r="M80" s="46"/>
      <c r="N80" s="48"/>
    </row>
    <row r="81" spans="5:14" ht="16">
      <c r="E81" s="46" t="s">
        <v>69</v>
      </c>
      <c r="F81" s="56" t="str">
        <f>VLOOKUP(E81,'Sovereign Ratings (Moody''s,S&amp;P)'!A81:D237,4,FALSE)</f>
        <v>Baa1</v>
      </c>
      <c r="G81" s="48">
        <v>7.7000000000000002E-3</v>
      </c>
      <c r="H81" s="48">
        <f t="shared" si="4"/>
        <v>1.03E-2</v>
      </c>
      <c r="I81" s="72">
        <f t="shared" si="3"/>
        <v>0.33766233766233755</v>
      </c>
      <c r="K81" s="46" t="s">
        <v>35</v>
      </c>
      <c r="L81" s="48">
        <v>1.6999999999999999E-3</v>
      </c>
      <c r="M81" s="46"/>
      <c r="N81" s="48"/>
    </row>
    <row r="82" spans="5:14" ht="16">
      <c r="E82" s="46" t="s">
        <v>71</v>
      </c>
      <c r="F82" s="56" t="str">
        <f>VLOOKUP(E82,'Sovereign Ratings (Moody''s,S&amp;P)'!A82:D238,4,FALSE)</f>
        <v>Ba2</v>
      </c>
      <c r="G82" s="48">
        <v>1.5100000000000001E-2</v>
      </c>
      <c r="H82" s="48">
        <f t="shared" si="4"/>
        <v>1.5900000000000001E-2</v>
      </c>
      <c r="I82" s="72">
        <f t="shared" si="3"/>
        <v>5.2980132450331174E-2</v>
      </c>
      <c r="K82" s="46" t="s">
        <v>65</v>
      </c>
      <c r="L82" s="48">
        <v>8.8999999999999999E-3</v>
      </c>
      <c r="M82" s="46"/>
      <c r="N82" s="48"/>
    </row>
    <row r="83" spans="5:14" ht="16">
      <c r="E83" s="114" t="s">
        <v>147</v>
      </c>
      <c r="F83" s="114"/>
      <c r="G83"/>
      <c r="H83" s="48"/>
      <c r="I83" s="115">
        <f>AVERAGE(I2:I82)</f>
        <v>0.15635764253817278</v>
      </c>
      <c r="K83" s="46" t="s">
        <v>77</v>
      </c>
      <c r="L83" s="48">
        <v>6.9400000000000003E-2</v>
      </c>
      <c r="M83" s="46"/>
      <c r="N83" s="48"/>
    </row>
    <row r="84" spans="5:14" ht="16">
      <c r="E84" s="114" t="s">
        <v>148</v>
      </c>
      <c r="F84" s="114"/>
      <c r="G84" s="23">
        <f>MEDIAN(G2:G82)</f>
        <v>8.6999999999999994E-3</v>
      </c>
      <c r="H84" s="23">
        <f>MEDIAN(H2:H82)</f>
        <v>1.03E-2</v>
      </c>
      <c r="I84" s="115">
        <f>MEDIAN(I2:I82)</f>
        <v>0.11976477337923119</v>
      </c>
      <c r="K84" s="46" t="s">
        <v>66</v>
      </c>
      <c r="L84" s="48">
        <v>4.0800000000000003E-2</v>
      </c>
      <c r="M84" s="46"/>
      <c r="N84" s="48"/>
    </row>
    <row r="85" spans="5:14" ht="16">
      <c r="K85" s="46" t="s">
        <v>68</v>
      </c>
      <c r="L85" s="48" t="s">
        <v>143</v>
      </c>
      <c r="M85" s="46"/>
      <c r="N85" s="48"/>
    </row>
    <row r="86" spans="5:14" ht="16">
      <c r="K86" s="46" t="s">
        <v>57</v>
      </c>
      <c r="L86" s="48">
        <v>4.1999999999999997E-3</v>
      </c>
      <c r="M86" s="46"/>
      <c r="N86" s="48"/>
    </row>
    <row r="87" spans="5:14" ht="16">
      <c r="K87" s="46" t="s">
        <v>345</v>
      </c>
      <c r="L87" s="48">
        <v>5.7000000000000002E-3</v>
      </c>
      <c r="M87" s="46"/>
      <c r="N87" s="48"/>
    </row>
    <row r="88" spans="5:14" ht="16">
      <c r="K88" s="46" t="s">
        <v>69</v>
      </c>
      <c r="L88" s="48">
        <v>1.03E-2</v>
      </c>
      <c r="M88" s="46"/>
      <c r="N88" s="48"/>
    </row>
    <row r="89" spans="5:14" ht="16">
      <c r="K89" s="46" t="s">
        <v>70</v>
      </c>
      <c r="L89" s="48" t="s">
        <v>143</v>
      </c>
      <c r="M89" s="46"/>
      <c r="N89" s="48"/>
    </row>
    <row r="90" spans="5:14">
      <c r="K90" t="s">
        <v>71</v>
      </c>
      <c r="L90" s="63">
        <v>1.5900000000000001E-2</v>
      </c>
      <c r="N90" s="63"/>
    </row>
    <row r="91" spans="5:14">
      <c r="K91" t="s">
        <v>189</v>
      </c>
      <c r="L91" s="63">
        <v>5.1299999999999998E-2</v>
      </c>
      <c r="N91" s="63"/>
    </row>
  </sheetData>
  <pageMargins left="0.75" right="0.75" top="1" bottom="1" header="0.3" footer="0.3"/>
  <pageSetup orientation="landscape"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8"/>
  <sheetViews>
    <sheetView topLeftCell="A21" workbookViewId="0">
      <selection activeCell="H113" sqref="H23:I113"/>
    </sheetView>
  </sheetViews>
  <sheetFormatPr baseColWidth="10" defaultRowHeight="14"/>
  <cols>
    <col min="1" max="1" width="24.83203125" style="31" bestFit="1" customWidth="1"/>
    <col min="2" max="2" width="19" style="31" customWidth="1"/>
    <col min="3" max="3" width="19.33203125" style="31" customWidth="1"/>
    <col min="4" max="4" width="28.1640625" style="31" customWidth="1"/>
    <col min="8" max="8" width="19.6640625" customWidth="1"/>
    <col min="9" max="9" width="12.1640625" style="47" bestFit="1" customWidth="1"/>
    <col min="10" max="10" width="29.6640625" style="25" customWidth="1"/>
  </cols>
  <sheetData>
    <row r="1" spans="1:5" ht="34">
      <c r="A1" s="66" t="s">
        <v>75</v>
      </c>
      <c r="B1" s="67" t="s">
        <v>267</v>
      </c>
      <c r="C1" s="117" t="s">
        <v>631</v>
      </c>
      <c r="D1" s="67" t="s">
        <v>552</v>
      </c>
      <c r="E1" s="74"/>
    </row>
    <row r="2" spans="1:5" ht="16">
      <c r="A2" s="46" t="str">
        <f>'Sovereign Ratings (Moody''s,S&amp;P)'!A2</f>
        <v>Abu Dhabi</v>
      </c>
      <c r="B2" s="56" t="str">
        <f>'Sovereign Ratings (Moody''s,S&amp;P)'!D2</f>
        <v>Aa2</v>
      </c>
      <c r="C2" s="118">
        <f>VLOOKUP(A2,$H$24:$J$113,2,FALSE)</f>
        <v>9.1000000000000004E-3</v>
      </c>
      <c r="D2" s="57">
        <f>IF(C2="NA","NA",IF(C2&gt;$C$139,C2-$C$139,0))</f>
        <v>7.4000000000000003E-3</v>
      </c>
    </row>
    <row r="3" spans="1:5" ht="16">
      <c r="A3" s="46" t="str">
        <f>'Sovereign Ratings (Moody''s,S&amp;P)'!A3</f>
        <v>Albania</v>
      </c>
      <c r="B3" s="56" t="str">
        <f>'Sovereign Ratings (Moody''s,S&amp;P)'!D3</f>
        <v>Ba3</v>
      </c>
      <c r="C3" s="118" t="s">
        <v>143</v>
      </c>
      <c r="D3" s="57" t="str">
        <f t="shared" ref="D3:D66" si="0">IF(C3="NA","NA",IF(C3&gt;$C$139,C3-$C$139,0))</f>
        <v>NA</v>
      </c>
    </row>
    <row r="4" spans="1:5" ht="16">
      <c r="A4" s="46" t="str">
        <f>'Sovereign Ratings (Moody''s,S&amp;P)'!A4</f>
        <v>Andorra (Principality of)</v>
      </c>
      <c r="B4" s="56" t="str">
        <f>'Sovereign Ratings (Moody''s,S&amp;P)'!D4</f>
        <v>Baa1</v>
      </c>
      <c r="C4" s="118" t="s">
        <v>143</v>
      </c>
      <c r="D4" s="57" t="str">
        <f t="shared" si="0"/>
        <v>NA</v>
      </c>
    </row>
    <row r="5" spans="1:5" ht="16">
      <c r="A5" s="46" t="str">
        <f>'Sovereign Ratings (Moody''s,S&amp;P)'!A5</f>
        <v>Angola</v>
      </c>
      <c r="B5" s="56" t="str">
        <f>'Sovereign Ratings (Moody''s,S&amp;P)'!D5</f>
        <v>B3</v>
      </c>
      <c r="C5" s="118">
        <f>VLOOKUP(A5,$H$24:$J$113,2,FALSE)</f>
        <v>6.6900000000000001E-2</v>
      </c>
      <c r="D5" s="57">
        <f t="shared" si="0"/>
        <v>6.5200000000000008E-2</v>
      </c>
    </row>
    <row r="6" spans="1:5" ht="16">
      <c r="A6" s="46" t="str">
        <f>'Sovereign Ratings (Moody''s,S&amp;P)'!A6</f>
        <v>Argentina</v>
      </c>
      <c r="B6" s="56" t="str">
        <f>'Sovereign Ratings (Moody''s,S&amp;P)'!D6</f>
        <v>Caa1</v>
      </c>
      <c r="C6" s="118" t="s">
        <v>143</v>
      </c>
      <c r="D6" s="57" t="str">
        <f t="shared" si="0"/>
        <v>NA</v>
      </c>
    </row>
    <row r="7" spans="1:5" ht="16">
      <c r="A7" s="46" t="str">
        <f>'Sovereign Ratings (Moody''s,S&amp;P)'!A7</f>
        <v>Armenia</v>
      </c>
      <c r="B7" s="56" t="str">
        <f>'Sovereign Ratings (Moody''s,S&amp;P)'!D7</f>
        <v>Ba3</v>
      </c>
      <c r="C7" s="118" t="s">
        <v>143</v>
      </c>
      <c r="D7" s="57" t="str">
        <f t="shared" si="0"/>
        <v>NA</v>
      </c>
    </row>
    <row r="8" spans="1:5" ht="16">
      <c r="A8" s="46" t="str">
        <f>'Sovereign Ratings (Moody''s,S&amp;P)'!A8</f>
        <v>Aruba</v>
      </c>
      <c r="B8" s="56" t="str">
        <f>'Sovereign Ratings (Moody''s,S&amp;P)'!D8</f>
        <v>Baa3</v>
      </c>
      <c r="C8" s="118" t="s">
        <v>143</v>
      </c>
      <c r="D8" s="57" t="str">
        <f t="shared" si="0"/>
        <v>NA</v>
      </c>
    </row>
    <row r="9" spans="1:5" ht="16">
      <c r="A9" s="46" t="str">
        <f>'Sovereign Ratings (Moody''s,S&amp;P)'!A9</f>
        <v>Australia</v>
      </c>
      <c r="B9" s="56" t="str">
        <f>'Sovereign Ratings (Moody''s,S&amp;P)'!D9</f>
        <v>Aaa</v>
      </c>
      <c r="C9" s="118">
        <f>VLOOKUP(A9,$H$24:$J$113,2,FALSE)</f>
        <v>2.5000000000000001E-3</v>
      </c>
      <c r="D9" s="57">
        <f t="shared" si="0"/>
        <v>8.0000000000000015E-4</v>
      </c>
    </row>
    <row r="10" spans="1:5" ht="16">
      <c r="A10" s="46" t="str">
        <f>'Sovereign Ratings (Moody''s,S&amp;P)'!A10</f>
        <v>Austria</v>
      </c>
      <c r="B10" s="56" t="str">
        <f>'Sovereign Ratings (Moody''s,S&amp;P)'!D10</f>
        <v>Aa1</v>
      </c>
      <c r="C10" s="118">
        <f>VLOOKUP(A10,$H$24:$J$113,2,FALSE)</f>
        <v>3.0000000000000001E-3</v>
      </c>
      <c r="D10" s="57">
        <f t="shared" si="0"/>
        <v>1.3000000000000002E-3</v>
      </c>
    </row>
    <row r="11" spans="1:5" ht="16">
      <c r="A11" s="46" t="str">
        <f>'Sovereign Ratings (Moody''s,S&amp;P)'!A11</f>
        <v>Azerbaijan</v>
      </c>
      <c r="B11" s="56" t="str">
        <f>'Sovereign Ratings (Moody''s,S&amp;P)'!D11</f>
        <v>Baa3</v>
      </c>
      <c r="C11" s="118" t="s">
        <v>143</v>
      </c>
      <c r="D11" s="57" t="str">
        <f t="shared" si="0"/>
        <v>NA</v>
      </c>
    </row>
    <row r="12" spans="1:5" ht="16">
      <c r="A12" s="46" t="str">
        <f>'Sovereign Ratings (Moody''s,S&amp;P)'!A12</f>
        <v>Bahamas</v>
      </c>
      <c r="B12" s="56" t="str">
        <f>'Sovereign Ratings (Moody''s,S&amp;P)'!D12</f>
        <v>B1</v>
      </c>
      <c r="C12" s="118" t="s">
        <v>143</v>
      </c>
      <c r="D12" s="57" t="str">
        <f t="shared" si="0"/>
        <v>NA</v>
      </c>
    </row>
    <row r="13" spans="1:5" ht="16">
      <c r="A13" s="46" t="str">
        <f>'Sovereign Ratings (Moody''s,S&amp;P)'!A13</f>
        <v>Bahrain</v>
      </c>
      <c r="B13" s="56" t="str">
        <f>'Sovereign Ratings (Moody''s,S&amp;P)'!D13</f>
        <v>B2</v>
      </c>
      <c r="C13" s="118">
        <f>VLOOKUP(A13,$H$24:$J$113,2,FALSE)</f>
        <v>3.5200000000000002E-2</v>
      </c>
      <c r="D13" s="57">
        <f t="shared" si="0"/>
        <v>3.3500000000000002E-2</v>
      </c>
    </row>
    <row r="14" spans="1:5" ht="16">
      <c r="A14" s="46" t="str">
        <f>'Sovereign Ratings (Moody''s,S&amp;P)'!A14</f>
        <v>Bangladesh</v>
      </c>
      <c r="B14" s="56" t="str">
        <f>'Sovereign Ratings (Moody''s,S&amp;P)'!D14</f>
        <v>B2</v>
      </c>
      <c r="C14" s="118" t="s">
        <v>143</v>
      </c>
      <c r="D14" s="57" t="str">
        <f t="shared" si="0"/>
        <v>NA</v>
      </c>
    </row>
    <row r="15" spans="1:5" ht="16">
      <c r="A15" s="46" t="str">
        <f>'Sovereign Ratings (Moody''s,S&amp;P)'!A15</f>
        <v>Barbados</v>
      </c>
      <c r="B15" s="56" t="str">
        <f>'Sovereign Ratings (Moody''s,S&amp;P)'!D15</f>
        <v>B2</v>
      </c>
      <c r="C15" s="118" t="s">
        <v>143</v>
      </c>
      <c r="D15" s="57" t="str">
        <f t="shared" si="0"/>
        <v>NA</v>
      </c>
    </row>
    <row r="16" spans="1:5" ht="16">
      <c r="A16" s="46" t="str">
        <f>'Sovereign Ratings (Moody''s,S&amp;P)'!A16</f>
        <v>Belarus</v>
      </c>
      <c r="B16" s="56" t="str">
        <f>'Sovereign Ratings (Moody''s,S&amp;P)'!D16</f>
        <v>C</v>
      </c>
      <c r="C16" s="118" t="s">
        <v>143</v>
      </c>
      <c r="D16" s="57" t="str">
        <f t="shared" si="0"/>
        <v>NA</v>
      </c>
    </row>
    <row r="17" spans="1:10" ht="16">
      <c r="A17" s="46" t="str">
        <f>'Sovereign Ratings (Moody''s,S&amp;P)'!A17</f>
        <v>Belgium</v>
      </c>
      <c r="B17" s="56" t="str">
        <f>'Sovereign Ratings (Moody''s,S&amp;P)'!D17</f>
        <v>Aa3</v>
      </c>
      <c r="C17" s="118">
        <f>VLOOKUP(A17,$H$24:$J$113,2,FALSE)</f>
        <v>4.1999999999999997E-3</v>
      </c>
      <c r="D17" s="57">
        <f t="shared" si="0"/>
        <v>2.4999999999999996E-3</v>
      </c>
    </row>
    <row r="18" spans="1:10" ht="16">
      <c r="A18" s="46" t="str">
        <f>'Sovereign Ratings (Moody''s,S&amp;P)'!A18</f>
        <v>Belize</v>
      </c>
      <c r="B18" s="56" t="str">
        <f>'Sovereign Ratings (Moody''s,S&amp;P)'!D18</f>
        <v>Caa1</v>
      </c>
      <c r="C18" s="118" t="s">
        <v>143</v>
      </c>
      <c r="D18" s="57" t="str">
        <f t="shared" si="0"/>
        <v>NA</v>
      </c>
    </row>
    <row r="19" spans="1:10" ht="16">
      <c r="A19" s="46" t="str">
        <f>'Sovereign Ratings (Moody''s,S&amp;P)'!A19</f>
        <v>Benin</v>
      </c>
      <c r="B19" s="56" t="str">
        <f>'Sovereign Ratings (Moody''s,S&amp;P)'!D19</f>
        <v>B1</v>
      </c>
      <c r="C19" s="118" t="s">
        <v>143</v>
      </c>
      <c r="D19" s="57" t="str">
        <f t="shared" si="0"/>
        <v>NA</v>
      </c>
    </row>
    <row r="20" spans="1:10" ht="16">
      <c r="A20" s="46" t="str">
        <f>'Sovereign Ratings (Moody''s,S&amp;P)'!A20</f>
        <v>Bermuda</v>
      </c>
      <c r="B20" s="56" t="str">
        <f>'Sovereign Ratings (Moody''s,S&amp;P)'!D20</f>
        <v>A2</v>
      </c>
      <c r="C20" s="118" t="s">
        <v>143</v>
      </c>
      <c r="D20" s="57" t="str">
        <f t="shared" si="0"/>
        <v>NA</v>
      </c>
    </row>
    <row r="21" spans="1:10" ht="16">
      <c r="A21" s="46" t="str">
        <f>'Sovereign Ratings (Moody''s,S&amp;P)'!A21</f>
        <v>Bolivia</v>
      </c>
      <c r="B21" s="56" t="str">
        <f>'Sovereign Ratings (Moody''s,S&amp;P)'!D21</f>
        <v>Caa3</v>
      </c>
      <c r="C21" s="118" t="s">
        <v>143</v>
      </c>
      <c r="D21" s="57" t="str">
        <f t="shared" si="0"/>
        <v>NA</v>
      </c>
    </row>
    <row r="22" spans="1:10" ht="16">
      <c r="A22" s="46" t="str">
        <f>'Sovereign Ratings (Moody''s,S&amp;P)'!A22</f>
        <v>Bosnia and Herzegovina</v>
      </c>
      <c r="B22" s="56" t="str">
        <f>'Sovereign Ratings (Moody''s,S&amp;P)'!D22</f>
        <v>B3</v>
      </c>
      <c r="C22" s="118" t="s">
        <v>143</v>
      </c>
      <c r="D22" s="57" t="str">
        <f t="shared" si="0"/>
        <v>NA</v>
      </c>
    </row>
    <row r="23" spans="1:10" ht="19" customHeight="1">
      <c r="A23" s="46" t="str">
        <f>'Sovereign Ratings (Moody''s,S&amp;P)'!A23</f>
        <v>Botswana</v>
      </c>
      <c r="B23" s="56" t="str">
        <f>'Sovereign Ratings (Moody''s,S&amp;P)'!D23</f>
        <v>Baa1</v>
      </c>
      <c r="C23" s="118" t="s">
        <v>143</v>
      </c>
      <c r="D23" s="57" t="str">
        <f t="shared" si="0"/>
        <v>NA</v>
      </c>
      <c r="H23" s="262" t="s">
        <v>75</v>
      </c>
      <c r="I23" s="263">
        <v>44650</v>
      </c>
      <c r="J23" s="264" t="s">
        <v>551</v>
      </c>
    </row>
    <row r="24" spans="1:10" ht="16">
      <c r="A24" s="46" t="str">
        <f>'Sovereign Ratings (Moody''s,S&amp;P)'!A24</f>
        <v>Brazil</v>
      </c>
      <c r="B24" s="56" t="str">
        <f>'Sovereign Ratings (Moody''s,S&amp;P)'!D24</f>
        <v>Ba1</v>
      </c>
      <c r="C24" s="118">
        <f>VLOOKUP(A24,$H$24:$J$113,2,FALSE)</f>
        <v>2.3900000000000001E-2</v>
      </c>
      <c r="D24" s="57">
        <f t="shared" si="0"/>
        <v>2.2200000000000001E-2</v>
      </c>
      <c r="H24" s="265" t="s">
        <v>268</v>
      </c>
      <c r="I24" s="266">
        <v>9.1000000000000004E-3</v>
      </c>
      <c r="J24" s="267">
        <f>IF(I24="NA","NA",IF(I24&lt;$I$103,0,I24-$I$103))</f>
        <v>7.4000000000000003E-3</v>
      </c>
    </row>
    <row r="25" spans="1:10" ht="16">
      <c r="A25" s="46" t="str">
        <f>'Sovereign Ratings (Moody''s,S&amp;P)'!A25</f>
        <v>Bulgaria</v>
      </c>
      <c r="B25" s="56" t="str">
        <f>'Sovereign Ratings (Moody''s,S&amp;P)'!D25</f>
        <v>Baa1</v>
      </c>
      <c r="C25" s="118">
        <f>VLOOKUP(A25,$H$24:$J$113,2,FALSE)</f>
        <v>7.7999999999999996E-3</v>
      </c>
      <c r="D25" s="57">
        <f t="shared" si="0"/>
        <v>6.0999999999999995E-3</v>
      </c>
      <c r="H25" s="265" t="s">
        <v>329</v>
      </c>
      <c r="I25" s="266">
        <v>1.2200000000000001E-2</v>
      </c>
      <c r="J25" s="267">
        <f t="shared" ref="J25:J88" si="1">IF(I25="NA","NA",IF(I25&lt;$I$103,0,I25-$I$103))</f>
        <v>1.0500000000000001E-2</v>
      </c>
    </row>
    <row r="26" spans="1:10" ht="16">
      <c r="A26" s="46" t="str">
        <f>'Sovereign Ratings (Moody''s,S&amp;P)'!A26</f>
        <v>Burkina Faso</v>
      </c>
      <c r="B26" s="56" t="str">
        <f>'Sovereign Ratings (Moody''s,S&amp;P)'!D26</f>
        <v>Caa1</v>
      </c>
      <c r="C26" s="118" t="s">
        <v>143</v>
      </c>
      <c r="D26" s="57" t="str">
        <f t="shared" si="0"/>
        <v>NA</v>
      </c>
      <c r="H26" s="265" t="s">
        <v>131</v>
      </c>
      <c r="I26" s="266">
        <v>6.6900000000000001E-2</v>
      </c>
      <c r="J26" s="267">
        <f t="shared" si="1"/>
        <v>6.5200000000000008E-2</v>
      </c>
    </row>
    <row r="27" spans="1:10" ht="16">
      <c r="A27" s="46" t="str">
        <f>'Sovereign Ratings (Moody''s,S&amp;P)'!A27</f>
        <v>Cambodia</v>
      </c>
      <c r="B27" s="56" t="str">
        <f>'Sovereign Ratings (Moody''s,S&amp;P)'!D27</f>
        <v>B2</v>
      </c>
      <c r="C27" s="118" t="s">
        <v>143</v>
      </c>
      <c r="D27" s="57" t="str">
        <f t="shared" si="0"/>
        <v>NA</v>
      </c>
      <c r="H27" s="265" t="s">
        <v>84</v>
      </c>
      <c r="I27" s="268">
        <v>6.2899999999999998E-2</v>
      </c>
      <c r="J27" s="267">
        <f t="shared" si="1"/>
        <v>6.1199999999999997E-2</v>
      </c>
    </row>
    <row r="28" spans="1:10" ht="16">
      <c r="A28" s="46" t="str">
        <f>'Sovereign Ratings (Moody''s,S&amp;P)'!A28</f>
        <v>Cameroon</v>
      </c>
      <c r="B28" s="56" t="str">
        <f>'Sovereign Ratings (Moody''s,S&amp;P)'!D28</f>
        <v>Caa1</v>
      </c>
      <c r="C28" s="118">
        <f>VLOOKUP(A28,$H$24:$J$113,2,FALSE)</f>
        <v>7.3400000000000007E-2</v>
      </c>
      <c r="D28" s="57">
        <f t="shared" si="0"/>
        <v>7.1700000000000014E-2</v>
      </c>
      <c r="H28" s="265" t="s">
        <v>85</v>
      </c>
      <c r="I28" s="266">
        <v>2.5000000000000001E-3</v>
      </c>
      <c r="J28" s="267">
        <f t="shared" si="1"/>
        <v>8.0000000000000015E-4</v>
      </c>
    </row>
    <row r="29" spans="1:10" ht="16">
      <c r="A29" s="46" t="str">
        <f>'Sovereign Ratings (Moody''s,S&amp;P)'!A29</f>
        <v>Canada</v>
      </c>
      <c r="B29" s="56" t="str">
        <f>'Sovereign Ratings (Moody''s,S&amp;P)'!D29</f>
        <v>Aaa</v>
      </c>
      <c r="C29" s="118">
        <f>VLOOKUP(A29,$H$24:$J$113,2,FALSE)</f>
        <v>3.0000000000000001E-3</v>
      </c>
      <c r="D29" s="57">
        <f t="shared" si="0"/>
        <v>1.3000000000000002E-3</v>
      </c>
      <c r="H29" s="265" t="s">
        <v>173</v>
      </c>
      <c r="I29" s="266">
        <v>3.0000000000000001E-3</v>
      </c>
      <c r="J29" s="267">
        <f t="shared" si="1"/>
        <v>1.3000000000000002E-3</v>
      </c>
    </row>
    <row r="30" spans="1:10" ht="16">
      <c r="A30" s="46" t="str">
        <f>'Sovereign Ratings (Moody''s,S&amp;P)'!A30</f>
        <v>Cape Verde</v>
      </c>
      <c r="B30" s="56" t="str">
        <f>'Sovereign Ratings (Moody''s,S&amp;P)'!D30</f>
        <v>B2</v>
      </c>
      <c r="C30" s="118" t="s">
        <v>143</v>
      </c>
      <c r="D30" s="57" t="str">
        <f t="shared" si="0"/>
        <v>NA</v>
      </c>
      <c r="H30" s="265" t="s">
        <v>87</v>
      </c>
      <c r="I30" s="266">
        <v>3.5200000000000002E-2</v>
      </c>
      <c r="J30" s="267">
        <f t="shared" si="1"/>
        <v>3.3500000000000002E-2</v>
      </c>
    </row>
    <row r="31" spans="1:10" ht="16">
      <c r="A31" s="46" t="str">
        <f>'Sovereign Ratings (Moody''s,S&amp;P)'!A31</f>
        <v>Cayman Islands</v>
      </c>
      <c r="B31" s="56" t="str">
        <f>'Sovereign Ratings (Moody''s,S&amp;P)'!D31</f>
        <v>Aa3</v>
      </c>
      <c r="C31" s="118" t="s">
        <v>143</v>
      </c>
      <c r="D31" s="57" t="str">
        <f t="shared" si="0"/>
        <v>NA</v>
      </c>
      <c r="H31" s="265" t="s">
        <v>174</v>
      </c>
      <c r="I31" s="266">
        <v>4.1999999999999997E-3</v>
      </c>
      <c r="J31" s="267">
        <f t="shared" si="1"/>
        <v>2.4999999999999996E-3</v>
      </c>
    </row>
    <row r="32" spans="1:10" ht="16">
      <c r="A32" s="46" t="str">
        <f>'Sovereign Ratings (Moody''s,S&amp;P)'!A32</f>
        <v>Chile</v>
      </c>
      <c r="B32" s="56" t="str">
        <f>'Sovereign Ratings (Moody''s,S&amp;P)'!D32</f>
        <v>A2</v>
      </c>
      <c r="C32" s="118">
        <f>VLOOKUP(A32,$H$24:$J$113,2,FALSE)</f>
        <v>1.06E-2</v>
      </c>
      <c r="D32" s="57">
        <f t="shared" si="0"/>
        <v>8.8999999999999999E-3</v>
      </c>
      <c r="H32" s="265" t="s">
        <v>92</v>
      </c>
      <c r="I32" s="266">
        <v>2.3900000000000001E-2</v>
      </c>
      <c r="J32" s="267">
        <f t="shared" si="1"/>
        <v>2.2200000000000001E-2</v>
      </c>
    </row>
    <row r="33" spans="1:10" ht="16">
      <c r="A33" s="46" t="str">
        <f>'Sovereign Ratings (Moody''s,S&amp;P)'!A33</f>
        <v>China</v>
      </c>
      <c r="B33" s="56" t="str">
        <f>'Sovereign Ratings (Moody''s,S&amp;P)'!D33</f>
        <v>A1</v>
      </c>
      <c r="C33" s="118">
        <f>VLOOKUP(A33,$H$24:$J$113,2,FALSE)</f>
        <v>7.7000000000000002E-3</v>
      </c>
      <c r="D33" s="57">
        <f t="shared" si="0"/>
        <v>6.0000000000000001E-3</v>
      </c>
      <c r="H33" s="265" t="s">
        <v>94</v>
      </c>
      <c r="I33" s="266">
        <v>7.7999999999999996E-3</v>
      </c>
      <c r="J33" s="267">
        <f t="shared" si="1"/>
        <v>6.0999999999999995E-3</v>
      </c>
    </row>
    <row r="34" spans="1:10" ht="16">
      <c r="A34" s="46" t="str">
        <f>'Sovereign Ratings (Moody''s,S&amp;P)'!A34</f>
        <v>Colombia</v>
      </c>
      <c r="B34" s="56" t="str">
        <f>'Sovereign Ratings (Moody''s,S&amp;P)'!D34</f>
        <v>Baa3</v>
      </c>
      <c r="C34" s="118">
        <f>VLOOKUP(A34,$H$24:$J$113,2,FALSE)</f>
        <v>3.4299999999999997E-2</v>
      </c>
      <c r="D34" s="57">
        <f t="shared" si="0"/>
        <v>3.2599999999999997E-2</v>
      </c>
      <c r="H34" s="265" t="s">
        <v>209</v>
      </c>
      <c r="I34" s="266">
        <v>7.3400000000000007E-2</v>
      </c>
      <c r="J34" s="267">
        <f t="shared" si="1"/>
        <v>7.1700000000000014E-2</v>
      </c>
    </row>
    <row r="35" spans="1:10" ht="16">
      <c r="A35" s="46" t="str">
        <f>'Sovereign Ratings (Moody''s,S&amp;P)'!A35</f>
        <v>Congo (Democratic Republic of)</v>
      </c>
      <c r="B35" s="56" t="str">
        <f>'Sovereign Ratings (Moody''s,S&amp;P)'!D35</f>
        <v>B3</v>
      </c>
      <c r="C35" s="118" t="s">
        <v>143</v>
      </c>
      <c r="D35" s="57" t="str">
        <f t="shared" si="0"/>
        <v>NA</v>
      </c>
      <c r="H35" s="265" t="s">
        <v>95</v>
      </c>
      <c r="I35" s="266">
        <v>3.0000000000000001E-3</v>
      </c>
      <c r="J35" s="267">
        <f t="shared" si="1"/>
        <v>1.3000000000000002E-3</v>
      </c>
    </row>
    <row r="36" spans="1:10" ht="16">
      <c r="A36" s="46" t="str">
        <f>'Sovereign Ratings (Moody''s,S&amp;P)'!A36</f>
        <v>Congo (Republic of)</v>
      </c>
      <c r="B36" s="56" t="str">
        <f>'Sovereign Ratings (Moody''s,S&amp;P)'!D36</f>
        <v>Caa2</v>
      </c>
      <c r="C36" s="118" t="s">
        <v>143</v>
      </c>
      <c r="D36" s="57" t="str">
        <f t="shared" si="0"/>
        <v>NA</v>
      </c>
      <c r="H36" s="265" t="s">
        <v>96</v>
      </c>
      <c r="I36" s="266">
        <v>1.06E-2</v>
      </c>
      <c r="J36" s="267">
        <f t="shared" si="1"/>
        <v>8.8999999999999999E-3</v>
      </c>
    </row>
    <row r="37" spans="1:10" ht="16">
      <c r="A37" s="46" t="str">
        <f>'Sovereign Ratings (Moody''s,S&amp;P)'!A37</f>
        <v>Cook Islands</v>
      </c>
      <c r="B37" s="56" t="str">
        <f>'Sovereign Ratings (Moody''s,S&amp;P)'!D37</f>
        <v>B1</v>
      </c>
      <c r="C37" s="118" t="s">
        <v>143</v>
      </c>
      <c r="D37" s="57" t="str">
        <f t="shared" si="0"/>
        <v>NA</v>
      </c>
      <c r="H37" s="265" t="s">
        <v>97</v>
      </c>
      <c r="I37" s="266">
        <v>7.7000000000000002E-3</v>
      </c>
      <c r="J37" s="267">
        <f t="shared" si="1"/>
        <v>6.0000000000000001E-3</v>
      </c>
    </row>
    <row r="38" spans="1:10" ht="16">
      <c r="A38" s="46" t="str">
        <f>'Sovereign Ratings (Moody''s,S&amp;P)'!A38</f>
        <v>Costa Rica</v>
      </c>
      <c r="B38" s="56" t="str">
        <f>'Sovereign Ratings (Moody''s,S&amp;P)'!D38</f>
        <v>Ba2</v>
      </c>
      <c r="C38" s="118">
        <f>VLOOKUP(A38,$H$24:$J$113,2,FALSE)</f>
        <v>2.24E-2</v>
      </c>
      <c r="D38" s="57">
        <f t="shared" si="0"/>
        <v>2.07E-2</v>
      </c>
      <c r="H38" s="265" t="s">
        <v>50</v>
      </c>
      <c r="I38" s="266">
        <v>3.4299999999999997E-2</v>
      </c>
      <c r="J38" s="267">
        <f t="shared" si="1"/>
        <v>3.2599999999999997E-2</v>
      </c>
    </row>
    <row r="39" spans="1:10" ht="16">
      <c r="A39" s="46" t="str">
        <f>'Sovereign Ratings (Moody''s,S&amp;P)'!A39</f>
        <v>Côte d'Ivoire</v>
      </c>
      <c r="B39" s="56" t="str">
        <f>'Sovereign Ratings (Moody''s,S&amp;P)'!D39</f>
        <v>Ba2</v>
      </c>
      <c r="C39" s="118" t="s">
        <v>143</v>
      </c>
      <c r="D39" s="57" t="str">
        <f t="shared" si="0"/>
        <v>NA</v>
      </c>
      <c r="H39" s="265" t="s">
        <v>56</v>
      </c>
      <c r="I39" s="266">
        <v>2.24E-2</v>
      </c>
      <c r="J39" s="267">
        <f t="shared" si="1"/>
        <v>2.07E-2</v>
      </c>
    </row>
    <row r="40" spans="1:10" ht="16">
      <c r="A40" s="46" t="str">
        <f>'Sovereign Ratings (Moody''s,S&amp;P)'!A40</f>
        <v>Croatia</v>
      </c>
      <c r="B40" s="56" t="str">
        <f>'Sovereign Ratings (Moody''s,S&amp;P)'!D40</f>
        <v>A3</v>
      </c>
      <c r="C40" s="118">
        <f>VLOOKUP(A40,$H$24:$J$113,2,FALSE)</f>
        <v>9.4999999999999998E-3</v>
      </c>
      <c r="D40" s="57">
        <f t="shared" si="0"/>
        <v>7.7999999999999996E-3</v>
      </c>
      <c r="H40" s="265" t="s">
        <v>98</v>
      </c>
      <c r="I40" s="266">
        <v>9.4999999999999998E-3</v>
      </c>
      <c r="J40" s="267">
        <f t="shared" si="1"/>
        <v>7.7999999999999996E-3</v>
      </c>
    </row>
    <row r="41" spans="1:10" ht="16">
      <c r="A41" s="46" t="str">
        <f>'Sovereign Ratings (Moody''s,S&amp;P)'!A41</f>
        <v>Cuba</v>
      </c>
      <c r="B41" s="56" t="str">
        <f>'Sovereign Ratings (Moody''s,S&amp;P)'!D41</f>
        <v>Ca</v>
      </c>
      <c r="C41" s="118" t="s">
        <v>143</v>
      </c>
      <c r="D41" s="57" t="str">
        <f t="shared" si="0"/>
        <v>NA</v>
      </c>
      <c r="H41" s="265" t="s">
        <v>175</v>
      </c>
      <c r="I41" s="266">
        <v>6.7000000000000002E-3</v>
      </c>
      <c r="J41" s="267">
        <f t="shared" si="1"/>
        <v>5.0000000000000001E-3</v>
      </c>
    </row>
    <row r="42" spans="1:10" ht="16">
      <c r="A42" s="46" t="str">
        <f>'Sovereign Ratings (Moody''s,S&amp;P)'!A42</f>
        <v>Curacao</v>
      </c>
      <c r="B42" s="56" t="str">
        <f>'Sovereign Ratings (Moody''s,S&amp;P)'!D42</f>
        <v>Baa3</v>
      </c>
      <c r="C42" s="118" t="s">
        <v>143</v>
      </c>
      <c r="D42" s="57" t="str">
        <f t="shared" si="0"/>
        <v>NA</v>
      </c>
      <c r="H42" s="265" t="s">
        <v>101</v>
      </c>
      <c r="I42" s="266">
        <v>5.1000000000000004E-3</v>
      </c>
      <c r="J42" s="267">
        <f t="shared" si="1"/>
        <v>3.4000000000000002E-3</v>
      </c>
    </row>
    <row r="43" spans="1:10" ht="16">
      <c r="A43" s="46" t="str">
        <f>'Sovereign Ratings (Moody''s,S&amp;P)'!A43</f>
        <v>Cyprus</v>
      </c>
      <c r="B43" s="56" t="str">
        <f>'Sovereign Ratings (Moody''s,S&amp;P)'!D43</f>
        <v>A3</v>
      </c>
      <c r="C43" s="118">
        <f>VLOOKUP(A43,$H$24:$J$113,2,FALSE)</f>
        <v>6.7000000000000002E-3</v>
      </c>
      <c r="D43" s="57">
        <f t="shared" si="0"/>
        <v>5.0000000000000001E-3</v>
      </c>
      <c r="H43" s="265" t="s">
        <v>102</v>
      </c>
      <c r="I43" s="266">
        <v>2E-3</v>
      </c>
      <c r="J43" s="267">
        <f t="shared" si="1"/>
        <v>3.0000000000000014E-4</v>
      </c>
    </row>
    <row r="44" spans="1:10" ht="16">
      <c r="A44" s="46" t="str">
        <f>'Sovereign Ratings (Moody''s,S&amp;P)'!A44</f>
        <v>Czech Republic</v>
      </c>
      <c r="B44" s="56" t="str">
        <f>'Sovereign Ratings (Moody''s,S&amp;P)'!D44</f>
        <v>Aa3</v>
      </c>
      <c r="C44" s="118">
        <f>VLOOKUP(A44,$H$24:$J$113,2,FALSE)</f>
        <v>5.1000000000000004E-3</v>
      </c>
      <c r="D44" s="57">
        <f t="shared" si="0"/>
        <v>3.4000000000000002E-3</v>
      </c>
      <c r="H44" s="265" t="s">
        <v>433</v>
      </c>
      <c r="I44" s="266">
        <v>1.32E-2</v>
      </c>
      <c r="J44" s="267">
        <f t="shared" si="1"/>
        <v>1.15E-2</v>
      </c>
    </row>
    <row r="45" spans="1:10" ht="16">
      <c r="A45" s="46" t="str">
        <f>'Sovereign Ratings (Moody''s,S&amp;P)'!A45</f>
        <v>Denmark</v>
      </c>
      <c r="B45" s="56" t="str">
        <f>'Sovereign Ratings (Moody''s,S&amp;P)'!D45</f>
        <v>Aaa</v>
      </c>
      <c r="C45" s="118">
        <f>VLOOKUP(A45,$H$24:$J$113,2,FALSE)</f>
        <v>2E-3</v>
      </c>
      <c r="D45" s="57">
        <f t="shared" si="0"/>
        <v>3.0000000000000014E-4</v>
      </c>
      <c r="H45" s="269" t="s">
        <v>104</v>
      </c>
      <c r="I45" s="268">
        <v>5.8500000000000003E-2</v>
      </c>
      <c r="J45" s="267">
        <f t="shared" si="1"/>
        <v>5.6800000000000003E-2</v>
      </c>
    </row>
    <row r="46" spans="1:10" ht="16">
      <c r="A46" s="46" t="str">
        <f>'Sovereign Ratings (Moody''s,S&amp;P)'!A46</f>
        <v>Dominican Republic</v>
      </c>
      <c r="B46" s="56" t="str">
        <f>'Sovereign Ratings (Moody''s,S&amp;P)'!D46</f>
        <v>Ba2</v>
      </c>
      <c r="C46" s="118" t="s">
        <v>143</v>
      </c>
      <c r="D46" s="57" t="str">
        <f t="shared" si="0"/>
        <v>NA</v>
      </c>
      <c r="H46" s="270" t="s">
        <v>105</v>
      </c>
      <c r="I46" s="266">
        <v>5.1499999999999997E-2</v>
      </c>
      <c r="J46" s="267">
        <f t="shared" si="1"/>
        <v>4.9799999999999997E-2</v>
      </c>
    </row>
    <row r="47" spans="1:10" ht="16">
      <c r="A47" s="46" t="str">
        <f>'Sovereign Ratings (Moody''s,S&amp;P)'!A47</f>
        <v>Ecuador</v>
      </c>
      <c r="B47" s="56" t="str">
        <f>'Sovereign Ratings (Moody''s,S&amp;P)'!D47</f>
        <v>Caa3</v>
      </c>
      <c r="C47" s="118">
        <f>VLOOKUP(A47,$H$24:$J$113,2,FALSE)</f>
        <v>5.8500000000000003E-2</v>
      </c>
      <c r="D47" s="57">
        <f t="shared" si="0"/>
        <v>5.6800000000000003E-2</v>
      </c>
      <c r="H47" s="265" t="s">
        <v>31</v>
      </c>
      <c r="I47" s="266">
        <v>4.9700000000000001E-2</v>
      </c>
      <c r="J47" s="267">
        <f t="shared" si="1"/>
        <v>4.8000000000000001E-2</v>
      </c>
    </row>
    <row r="48" spans="1:10" ht="16">
      <c r="A48" s="46" t="str">
        <f>'Sovereign Ratings (Moody''s,S&amp;P)'!A48</f>
        <v>Egypt</v>
      </c>
      <c r="B48" s="56" t="str">
        <f>'Sovereign Ratings (Moody''s,S&amp;P)'!D48</f>
        <v>Caa1</v>
      </c>
      <c r="C48" s="118">
        <f>VLOOKUP(A48,$H$24:$J$113,2,FALSE)</f>
        <v>5.1499999999999997E-2</v>
      </c>
      <c r="D48" s="57">
        <f t="shared" si="0"/>
        <v>4.9799999999999997E-2</v>
      </c>
      <c r="H48" s="265" t="s">
        <v>106</v>
      </c>
      <c r="I48" s="266">
        <v>9.5999999999999992E-3</v>
      </c>
      <c r="J48" s="267">
        <f t="shared" si="1"/>
        <v>7.899999999999999E-3</v>
      </c>
    </row>
    <row r="49" spans="1:10" ht="16">
      <c r="A49" s="46" t="str">
        <f>'Sovereign Ratings (Moody''s,S&amp;P)'!A49</f>
        <v>El Salvador</v>
      </c>
      <c r="B49" s="56" t="str">
        <f>'Sovereign Ratings (Moody''s,S&amp;P)'!D49</f>
        <v>B3</v>
      </c>
      <c r="C49" s="118">
        <f>VLOOKUP(A49,$H$24:$J$113,2,FALSE)</f>
        <v>4.9700000000000001E-2</v>
      </c>
      <c r="D49" s="57">
        <f t="shared" si="0"/>
        <v>4.8000000000000001E-2</v>
      </c>
      <c r="H49" s="265" t="s">
        <v>279</v>
      </c>
      <c r="I49" s="268" t="s">
        <v>143</v>
      </c>
      <c r="J49" s="267" t="str">
        <f t="shared" si="1"/>
        <v>NA</v>
      </c>
    </row>
    <row r="50" spans="1:10" ht="16">
      <c r="A50" s="46" t="str">
        <f>'Sovereign Ratings (Moody''s,S&amp;P)'!A50</f>
        <v>Estonia</v>
      </c>
      <c r="B50" s="56" t="str">
        <f>'Sovereign Ratings (Moody''s,S&amp;P)'!D50</f>
        <v>A1</v>
      </c>
      <c r="C50" s="118">
        <f>VLOOKUP(A50,$H$24:$J$113,2,FALSE)</f>
        <v>9.5999999999999992E-3</v>
      </c>
      <c r="D50" s="57">
        <f t="shared" si="0"/>
        <v>7.899999999999999E-3</v>
      </c>
      <c r="H50" s="265" t="s">
        <v>176</v>
      </c>
      <c r="I50" s="266">
        <v>2.8999999999999998E-3</v>
      </c>
      <c r="J50" s="267">
        <f t="shared" si="1"/>
        <v>1.1999999999999999E-3</v>
      </c>
    </row>
    <row r="51" spans="1:10" ht="16">
      <c r="A51" s="46" t="str">
        <f>'Sovereign Ratings (Moody''s,S&amp;P)'!A51</f>
        <v>Ethiopia</v>
      </c>
      <c r="B51" s="56" t="str">
        <f>'Sovereign Ratings (Moody''s,S&amp;P)'!D51</f>
        <v>Caa2</v>
      </c>
      <c r="C51" s="118" t="str">
        <f>VLOOKUP(A51,$H$24:$J$113,2,FALSE)</f>
        <v>NA</v>
      </c>
      <c r="D51" s="57" t="str">
        <f t="shared" si="0"/>
        <v>NA</v>
      </c>
      <c r="H51" s="265" t="s">
        <v>177</v>
      </c>
      <c r="I51" s="266">
        <v>6.7000000000000002E-3</v>
      </c>
      <c r="J51" s="267">
        <f t="shared" si="1"/>
        <v>5.0000000000000001E-3</v>
      </c>
    </row>
    <row r="52" spans="1:10" ht="16">
      <c r="A52" s="46" t="str">
        <f>'Sovereign Ratings (Moody''s,S&amp;P)'!A52</f>
        <v>Fiji</v>
      </c>
      <c r="B52" s="56" t="str">
        <f>'Sovereign Ratings (Moody''s,S&amp;P)'!D52</f>
        <v>B1</v>
      </c>
      <c r="C52" s="118" t="s">
        <v>143</v>
      </c>
      <c r="D52" s="57" t="str">
        <f t="shared" si="0"/>
        <v>NA</v>
      </c>
      <c r="H52" s="265" t="s">
        <v>217</v>
      </c>
      <c r="I52" s="266">
        <v>7.7100000000000002E-2</v>
      </c>
      <c r="J52" s="267">
        <f t="shared" si="1"/>
        <v>7.5400000000000009E-2</v>
      </c>
    </row>
    <row r="53" spans="1:10" ht="16">
      <c r="A53" s="46" t="str">
        <f>'Sovereign Ratings (Moody''s,S&amp;P)'!A53</f>
        <v>Finland</v>
      </c>
      <c r="B53" s="56" t="str">
        <f>'Sovereign Ratings (Moody''s,S&amp;P)'!D53</f>
        <v>Aa1</v>
      </c>
      <c r="C53" s="118">
        <f>VLOOKUP(A53,$H$24:$J$113,2,FALSE)</f>
        <v>2.8999999999999998E-3</v>
      </c>
      <c r="D53" s="57">
        <f t="shared" si="0"/>
        <v>1.1999999999999999E-3</v>
      </c>
      <c r="H53" s="265" t="s">
        <v>178</v>
      </c>
      <c r="I53" s="266">
        <v>2.0999999999999999E-3</v>
      </c>
      <c r="J53" s="267">
        <f t="shared" si="1"/>
        <v>3.9999999999999996E-4</v>
      </c>
    </row>
    <row r="54" spans="1:10" ht="16">
      <c r="A54" s="46" t="str">
        <f>'Sovereign Ratings (Moody''s,S&amp;P)'!A54</f>
        <v>France</v>
      </c>
      <c r="B54" s="56" t="str">
        <f>'Sovereign Ratings (Moody''s,S&amp;P)'!D54</f>
        <v>Aa3</v>
      </c>
      <c r="C54" s="118">
        <f>VLOOKUP(A54,$H$24:$J$113,2,FALSE)</f>
        <v>6.7000000000000002E-3</v>
      </c>
      <c r="D54" s="57">
        <f t="shared" si="0"/>
        <v>5.0000000000000001E-3</v>
      </c>
      <c r="H54" s="265" t="s">
        <v>179</v>
      </c>
      <c r="I54" s="266">
        <v>7.9000000000000008E-3</v>
      </c>
      <c r="J54" s="267">
        <f t="shared" si="1"/>
        <v>6.2000000000000006E-3</v>
      </c>
    </row>
    <row r="55" spans="1:10" ht="16">
      <c r="A55" s="46" t="str">
        <f>'Sovereign Ratings (Moody''s,S&amp;P)'!A55</f>
        <v>Gabon</v>
      </c>
      <c r="B55" s="56" t="str">
        <f>'Sovereign Ratings (Moody''s,S&amp;P)'!D55</f>
        <v>Caa2</v>
      </c>
      <c r="C55" s="118" t="s">
        <v>143</v>
      </c>
      <c r="D55" s="57" t="str">
        <f t="shared" si="0"/>
        <v>NA</v>
      </c>
      <c r="H55" s="265" t="s">
        <v>107</v>
      </c>
      <c r="I55" s="266">
        <v>2.0199999999999999E-2</v>
      </c>
      <c r="J55" s="267">
        <f t="shared" si="1"/>
        <v>1.8499999999999999E-2</v>
      </c>
    </row>
    <row r="56" spans="1:10" ht="16">
      <c r="A56" s="46" t="str">
        <f>'Sovereign Ratings (Moody''s,S&amp;P)'!A56</f>
        <v>Georgia</v>
      </c>
      <c r="B56" s="56" t="str">
        <f>'Sovereign Ratings (Moody''s,S&amp;P)'!D56</f>
        <v>Ba2</v>
      </c>
      <c r="C56" s="118" t="s">
        <v>143</v>
      </c>
      <c r="D56" s="57" t="str">
        <f t="shared" si="0"/>
        <v>NA</v>
      </c>
      <c r="H56" s="265" t="s">
        <v>59</v>
      </c>
      <c r="I56" s="266">
        <v>4.4999999999999997E-3</v>
      </c>
      <c r="J56" s="267">
        <f t="shared" si="1"/>
        <v>2.7999999999999995E-3</v>
      </c>
    </row>
    <row r="57" spans="1:10" ht="16">
      <c r="A57" s="46" t="str">
        <f>'Sovereign Ratings (Moody''s,S&amp;P)'!A57</f>
        <v>Germany</v>
      </c>
      <c r="B57" s="56" t="str">
        <f>'Sovereign Ratings (Moody''s,S&amp;P)'!D57</f>
        <v>Aaa</v>
      </c>
      <c r="C57" s="118">
        <f>VLOOKUP(A57,$H$24:$J$113,2,FALSE)</f>
        <v>2.0999999999999999E-3</v>
      </c>
      <c r="D57" s="57">
        <f t="shared" si="0"/>
        <v>3.9999999999999996E-4</v>
      </c>
      <c r="H57" s="265" t="s">
        <v>109</v>
      </c>
      <c r="I57" s="266">
        <v>1.6899999999999998E-2</v>
      </c>
      <c r="J57" s="267">
        <f t="shared" si="1"/>
        <v>1.5199999999999998E-2</v>
      </c>
    </row>
    <row r="58" spans="1:10" ht="16">
      <c r="A58" s="46" t="str">
        <f>'Sovereign Ratings (Moody''s,S&amp;P)'!A58</f>
        <v>Ghana</v>
      </c>
      <c r="B58" s="56" t="str">
        <f>'Sovereign Ratings (Moody''s,S&amp;P)'!D58</f>
        <v>Caa1</v>
      </c>
      <c r="C58" s="118" t="s">
        <v>143</v>
      </c>
      <c r="D58" s="57" t="str">
        <f t="shared" si="0"/>
        <v>NA</v>
      </c>
      <c r="H58" s="265" t="s">
        <v>110</v>
      </c>
      <c r="I58" s="266">
        <v>4.1999999999999997E-3</v>
      </c>
      <c r="J58" s="267">
        <f t="shared" si="1"/>
        <v>2.4999999999999996E-3</v>
      </c>
    </row>
    <row r="59" spans="1:10" ht="16">
      <c r="A59" s="46" t="str">
        <f>'Sovereign Ratings (Moody''s,S&amp;P)'!A59</f>
        <v>Greece</v>
      </c>
      <c r="B59" s="56" t="str">
        <f>'Sovereign Ratings (Moody''s,S&amp;P)'!D59</f>
        <v>Baa3</v>
      </c>
      <c r="C59" s="118">
        <f>VLOOKUP(A59,$H$24:$J$113,2,FALSE)</f>
        <v>7.9000000000000008E-3</v>
      </c>
      <c r="D59" s="57">
        <f t="shared" si="0"/>
        <v>6.2000000000000006E-3</v>
      </c>
      <c r="H59" s="265" t="s">
        <v>111</v>
      </c>
      <c r="I59" s="266">
        <v>1.0200000000000001E-2</v>
      </c>
      <c r="J59" s="267">
        <f t="shared" si="1"/>
        <v>8.5000000000000006E-3</v>
      </c>
    </row>
    <row r="60" spans="1:10" ht="16">
      <c r="A60" s="46" t="str">
        <f>'Sovereign Ratings (Moody''s,S&amp;P)'!A60</f>
        <v>Guatemala</v>
      </c>
      <c r="B60" s="56" t="str">
        <f>'Sovereign Ratings (Moody''s,S&amp;P)'!D60</f>
        <v>Ba1</v>
      </c>
      <c r="C60" s="118" t="s">
        <v>143</v>
      </c>
      <c r="D60" s="57" t="str">
        <f t="shared" si="0"/>
        <v>NA</v>
      </c>
      <c r="H60" s="265" t="s">
        <v>112</v>
      </c>
      <c r="I60" s="266">
        <v>1.5900000000000001E-2</v>
      </c>
      <c r="J60" s="267">
        <f t="shared" si="1"/>
        <v>1.4200000000000001E-2</v>
      </c>
    </row>
    <row r="61" spans="1:10" ht="16">
      <c r="A61" s="46" t="str">
        <f>'Sovereign Ratings (Moody''s,S&amp;P)'!A61</f>
        <v>Guernsey (States of)</v>
      </c>
      <c r="B61" s="56" t="str">
        <f>'Sovereign Ratings (Moody''s,S&amp;P)'!D61</f>
        <v>A1</v>
      </c>
      <c r="C61" s="118" t="s">
        <v>143</v>
      </c>
      <c r="D61" s="57" t="str">
        <f t="shared" si="0"/>
        <v>NA</v>
      </c>
      <c r="H61" s="265" t="s">
        <v>323</v>
      </c>
      <c r="I61" s="266">
        <v>5.8799999999999998E-2</v>
      </c>
      <c r="J61" s="267">
        <f t="shared" si="1"/>
        <v>5.7099999999999998E-2</v>
      </c>
    </row>
    <row r="62" spans="1:10" ht="16">
      <c r="A62" s="46" t="str">
        <f>'Sovereign Ratings (Moody''s,S&amp;P)'!A62</f>
        <v>Honduras</v>
      </c>
      <c r="B62" s="56" t="str">
        <f>'Sovereign Ratings (Moody''s,S&amp;P)'!D62</f>
        <v>B1</v>
      </c>
      <c r="C62" s="118" t="s">
        <v>143</v>
      </c>
      <c r="D62" s="57" t="str">
        <f t="shared" si="0"/>
        <v>NA</v>
      </c>
      <c r="H62" s="265" t="s">
        <v>180</v>
      </c>
      <c r="I62" s="266">
        <v>3.0999999999999999E-3</v>
      </c>
      <c r="J62" s="267">
        <f t="shared" si="1"/>
        <v>1.4E-3</v>
      </c>
    </row>
    <row r="63" spans="1:10" ht="16">
      <c r="A63" s="46" t="str">
        <f>'Sovereign Ratings (Moody''s,S&amp;P)'!A63</f>
        <v>Hong Kong</v>
      </c>
      <c r="B63" s="56" t="str">
        <f>'Sovereign Ratings (Moody''s,S&amp;P)'!D63</f>
        <v>Aa3</v>
      </c>
      <c r="C63" s="118">
        <f t="shared" ref="C63:C69" si="2">VLOOKUP(A63,$H$24:$J$113,2,FALSE)</f>
        <v>4.4999999999999997E-3</v>
      </c>
      <c r="D63" s="57">
        <f t="shared" si="0"/>
        <v>2.7999999999999995E-3</v>
      </c>
      <c r="H63" s="265" t="s">
        <v>114</v>
      </c>
      <c r="I63" s="266">
        <v>1.2500000000000001E-2</v>
      </c>
      <c r="J63" s="267">
        <f t="shared" si="1"/>
        <v>1.0800000000000001E-2</v>
      </c>
    </row>
    <row r="64" spans="1:10" ht="16">
      <c r="A64" s="46" t="str">
        <f>'Sovereign Ratings (Moody''s,S&amp;P)'!A64</f>
        <v>Hungary</v>
      </c>
      <c r="B64" s="56" t="str">
        <f>'Sovereign Ratings (Moody''s,S&amp;P)'!D64</f>
        <v>Baa2</v>
      </c>
      <c r="C64" s="118">
        <f t="shared" si="2"/>
        <v>1.6899999999999998E-2</v>
      </c>
      <c r="D64" s="57">
        <f t="shared" si="0"/>
        <v>1.5199999999999998E-2</v>
      </c>
      <c r="H64" s="265" t="s">
        <v>144</v>
      </c>
      <c r="I64" s="266">
        <v>7.1999999999999998E-3</v>
      </c>
      <c r="J64" s="267">
        <f t="shared" si="1"/>
        <v>5.4999999999999997E-3</v>
      </c>
    </row>
    <row r="65" spans="1:10" ht="16">
      <c r="A65" s="46" t="str">
        <f>'Sovereign Ratings (Moody''s,S&amp;P)'!A65</f>
        <v>Iceland</v>
      </c>
      <c r="B65" s="56" t="str">
        <f>'Sovereign Ratings (Moody''s,S&amp;P)'!D65</f>
        <v>A1</v>
      </c>
      <c r="C65" s="118">
        <f t="shared" si="2"/>
        <v>4.1999999999999997E-3</v>
      </c>
      <c r="D65" s="57">
        <f t="shared" si="0"/>
        <v>2.4999999999999996E-3</v>
      </c>
      <c r="H65" s="265" t="s">
        <v>116</v>
      </c>
      <c r="I65" s="266">
        <v>5.1000000000000004E-3</v>
      </c>
      <c r="J65" s="267">
        <f t="shared" si="1"/>
        <v>3.4000000000000002E-3</v>
      </c>
    </row>
    <row r="66" spans="1:10" ht="16">
      <c r="A66" s="46" t="str">
        <f>'Sovereign Ratings (Moody''s,S&amp;P)'!A66</f>
        <v>India</v>
      </c>
      <c r="B66" s="56" t="str">
        <f>'Sovereign Ratings (Moody''s,S&amp;P)'!D66</f>
        <v>Baa3</v>
      </c>
      <c r="C66" s="118">
        <f t="shared" si="2"/>
        <v>1.0200000000000001E-2</v>
      </c>
      <c r="D66" s="57">
        <f t="shared" si="0"/>
        <v>8.5000000000000006E-3</v>
      </c>
      <c r="H66" s="265" t="s">
        <v>118</v>
      </c>
      <c r="I66" s="266">
        <v>1.6299999999999999E-2</v>
      </c>
      <c r="J66" s="267">
        <f t="shared" si="1"/>
        <v>1.4599999999999998E-2</v>
      </c>
    </row>
    <row r="67" spans="1:10" ht="16">
      <c r="A67" s="46" t="str">
        <f>'Sovereign Ratings (Moody''s,S&amp;P)'!A67</f>
        <v>Indonesia</v>
      </c>
      <c r="B67" s="56" t="str">
        <f>'Sovereign Ratings (Moody''s,S&amp;P)'!D67</f>
        <v>Baa2</v>
      </c>
      <c r="C67" s="118">
        <f t="shared" si="2"/>
        <v>1.5900000000000001E-2</v>
      </c>
      <c r="D67" s="57">
        <f t="shared" ref="D67:D130" si="3">IF(C67="NA","NA",IF(C67&gt;$C$139,C67-$C$139,0))</f>
        <v>1.4200000000000001E-2</v>
      </c>
      <c r="H67" s="265" t="s">
        <v>181</v>
      </c>
      <c r="I67" s="266">
        <v>5.9799999999999999E-2</v>
      </c>
      <c r="J67" s="267">
        <f t="shared" si="1"/>
        <v>5.8099999999999999E-2</v>
      </c>
    </row>
    <row r="68" spans="1:10" ht="16">
      <c r="A68" s="46" t="str">
        <f>'Sovereign Ratings (Moody''s,S&amp;P)'!A68</f>
        <v>Iraq</v>
      </c>
      <c r="B68" s="56" t="str">
        <f>'Sovereign Ratings (Moody''s,S&amp;P)'!D68</f>
        <v>Caa1</v>
      </c>
      <c r="C68" s="118">
        <f t="shared" si="2"/>
        <v>5.8799999999999998E-2</v>
      </c>
      <c r="D68" s="57">
        <f t="shared" si="3"/>
        <v>5.7099999999999998E-2</v>
      </c>
      <c r="H68" s="265" t="s">
        <v>119</v>
      </c>
      <c r="I68" s="266">
        <v>5.0000000000000001E-3</v>
      </c>
      <c r="J68" s="267">
        <f t="shared" si="1"/>
        <v>3.3E-3</v>
      </c>
    </row>
    <row r="69" spans="1:10" ht="16">
      <c r="A69" s="46" t="str">
        <f>'Sovereign Ratings (Moody''s,S&amp;P)'!A69</f>
        <v>Ireland</v>
      </c>
      <c r="B69" s="56" t="str">
        <f>'Sovereign Ratings (Moody''s,S&amp;P)'!D69</f>
        <v>Aa3</v>
      </c>
      <c r="C69" s="118">
        <f t="shared" si="2"/>
        <v>3.0999999999999999E-3</v>
      </c>
      <c r="D69" s="57">
        <f t="shared" si="3"/>
        <v>1.4E-3</v>
      </c>
      <c r="H69" s="265" t="s">
        <v>120</v>
      </c>
      <c r="I69" s="266">
        <v>1.03E-2</v>
      </c>
      <c r="J69" s="267">
        <f t="shared" si="1"/>
        <v>8.6E-3</v>
      </c>
    </row>
    <row r="70" spans="1:10" ht="16">
      <c r="A70" s="46" t="str">
        <f>'Sovereign Ratings (Moody''s,S&amp;P)'!A70</f>
        <v>Isle of Man</v>
      </c>
      <c r="B70" s="56" t="str">
        <f>'Sovereign Ratings (Moody''s,S&amp;P)'!D70</f>
        <v>Aa3</v>
      </c>
      <c r="C70" s="118" t="s">
        <v>143</v>
      </c>
      <c r="D70" s="57" t="str">
        <f t="shared" si="3"/>
        <v>NA</v>
      </c>
      <c r="H70" s="265" t="s">
        <v>121</v>
      </c>
      <c r="I70" s="266">
        <v>8.3000000000000001E-3</v>
      </c>
      <c r="J70" s="267">
        <f t="shared" si="1"/>
        <v>6.6E-3</v>
      </c>
    </row>
    <row r="71" spans="1:10" ht="16">
      <c r="A71" s="46" t="str">
        <f>'Sovereign Ratings (Moody''s,S&amp;P)'!A71</f>
        <v>Israel</v>
      </c>
      <c r="B71" s="56" t="str">
        <f>'Sovereign Ratings (Moody''s,S&amp;P)'!D71</f>
        <v>Baa1</v>
      </c>
      <c r="C71" s="118">
        <f>VLOOKUP(A71,$H$24:$J$113,2,FALSE)</f>
        <v>1.2500000000000001E-2</v>
      </c>
      <c r="D71" s="57">
        <f t="shared" si="3"/>
        <v>1.0800000000000001E-2</v>
      </c>
      <c r="H71" s="265" t="s">
        <v>122</v>
      </c>
      <c r="I71" s="266" t="s">
        <v>143</v>
      </c>
      <c r="J71" s="267" t="str">
        <f t="shared" si="1"/>
        <v>NA</v>
      </c>
    </row>
    <row r="72" spans="1:10" ht="16">
      <c r="A72" s="46" t="str">
        <f>'Sovereign Ratings (Moody''s,S&amp;P)'!A72</f>
        <v>Italy</v>
      </c>
      <c r="B72" s="56" t="str">
        <f>'Sovereign Ratings (Moody''s,S&amp;P)'!D72</f>
        <v>Baa2</v>
      </c>
      <c r="C72" s="118">
        <f>VLOOKUP(A72,$H$24:$J$113,2,FALSE)</f>
        <v>7.1999999999999998E-3</v>
      </c>
      <c r="D72" s="57">
        <f t="shared" si="3"/>
        <v>5.4999999999999997E-3</v>
      </c>
      <c r="H72" s="265" t="s">
        <v>13</v>
      </c>
      <c r="I72" s="266">
        <v>8.2000000000000007E-3</v>
      </c>
      <c r="J72" s="267">
        <f t="shared" si="1"/>
        <v>6.5000000000000006E-3</v>
      </c>
    </row>
    <row r="73" spans="1:10" ht="16">
      <c r="A73" s="46" t="str">
        <f>'Sovereign Ratings (Moody''s,S&amp;P)'!A73</f>
        <v>Jamaica</v>
      </c>
      <c r="B73" s="56" t="str">
        <f>'Sovereign Ratings (Moody''s,S&amp;P)'!D73</f>
        <v>Ba3</v>
      </c>
      <c r="C73" s="118" t="s">
        <v>143</v>
      </c>
      <c r="D73" s="57" t="str">
        <f t="shared" si="3"/>
        <v>NA</v>
      </c>
      <c r="H73" s="265" t="s">
        <v>14</v>
      </c>
      <c r="I73" s="266">
        <v>7.7999999999999996E-3</v>
      </c>
      <c r="J73" s="267">
        <f t="shared" si="1"/>
        <v>6.0999999999999995E-3</v>
      </c>
    </row>
    <row r="74" spans="1:10" ht="16">
      <c r="A74" s="46" t="str">
        <f>'Sovereign Ratings (Moody''s,S&amp;P)'!A74</f>
        <v>Japan</v>
      </c>
      <c r="B74" s="56" t="str">
        <f>'Sovereign Ratings (Moody''s,S&amp;P)'!D74</f>
        <v>A1</v>
      </c>
      <c r="C74" s="118">
        <f>VLOOKUP(A74,$H$24:$J$113,2,FALSE)</f>
        <v>5.1000000000000004E-3</v>
      </c>
      <c r="D74" s="57">
        <f t="shared" si="3"/>
        <v>3.4000000000000002E-3</v>
      </c>
      <c r="H74" s="265" t="s">
        <v>16</v>
      </c>
      <c r="I74" s="266">
        <v>1.8599999999999998E-2</v>
      </c>
      <c r="J74" s="267">
        <f t="shared" si="1"/>
        <v>1.6899999999999998E-2</v>
      </c>
    </row>
    <row r="75" spans="1:10" ht="16">
      <c r="A75" s="46" t="str">
        <f>'Sovereign Ratings (Moody''s,S&amp;P)'!A75</f>
        <v>Jersey (States of)</v>
      </c>
      <c r="B75" s="56" t="str">
        <f>'Sovereign Ratings (Moody''s,S&amp;P)'!D75</f>
        <v>Aa3</v>
      </c>
      <c r="C75" s="118" t="s">
        <v>143</v>
      </c>
      <c r="D75" s="57" t="str">
        <f t="shared" si="3"/>
        <v>NA</v>
      </c>
      <c r="H75" s="265" t="s">
        <v>63</v>
      </c>
      <c r="I75" s="266">
        <v>3.3099999999999997E-2</v>
      </c>
      <c r="J75" s="267">
        <f t="shared" si="1"/>
        <v>3.1399999999999997E-2</v>
      </c>
    </row>
    <row r="76" spans="1:10" ht="16">
      <c r="A76" s="46" t="str">
        <f>'Sovereign Ratings (Moody''s,S&amp;P)'!A76</f>
        <v>Jordan</v>
      </c>
      <c r="B76" s="56" t="str">
        <f>'Sovereign Ratings (Moody''s,S&amp;P)'!D76</f>
        <v>Ba3</v>
      </c>
      <c r="C76" s="118" t="s">
        <v>143</v>
      </c>
      <c r="D76" s="57" t="str">
        <f t="shared" si="3"/>
        <v>NA</v>
      </c>
      <c r="H76" s="265" t="s">
        <v>18</v>
      </c>
      <c r="I76" s="266">
        <v>1.6E-2</v>
      </c>
      <c r="J76" s="267">
        <f t="shared" si="1"/>
        <v>1.43E-2</v>
      </c>
    </row>
    <row r="77" spans="1:10" ht="16">
      <c r="A77" s="46" t="str">
        <f>'Sovereign Ratings (Moody''s,S&amp;P)'!A77</f>
        <v>Kazakhstan</v>
      </c>
      <c r="B77" s="56" t="str">
        <f>'Sovereign Ratings (Moody''s,S&amp;P)'!D77</f>
        <v>Baa1</v>
      </c>
      <c r="C77" s="118">
        <f>VLOOKUP(A77,$H$24:$J$113,2,FALSE)</f>
        <v>1.6299999999999999E-2</v>
      </c>
      <c r="D77" s="57">
        <f t="shared" si="3"/>
        <v>1.4599999999999998E-2</v>
      </c>
      <c r="H77" s="265" t="s">
        <v>136</v>
      </c>
      <c r="I77" s="266">
        <v>3.6700000000000003E-2</v>
      </c>
      <c r="J77" s="267">
        <f t="shared" si="1"/>
        <v>3.5000000000000003E-2</v>
      </c>
    </row>
    <row r="78" spans="1:10" ht="16">
      <c r="A78" s="46" t="str">
        <f>'Sovereign Ratings (Moody''s,S&amp;P)'!A78</f>
        <v>Kenya</v>
      </c>
      <c r="B78" s="56" t="str">
        <f>'Sovereign Ratings (Moody''s,S&amp;P)'!D78</f>
        <v>B3</v>
      </c>
      <c r="C78" s="118">
        <f>VLOOKUP(A78,$H$24:$J$113,2,FALSE)</f>
        <v>5.9799999999999999E-2</v>
      </c>
      <c r="D78" s="57">
        <f t="shared" si="3"/>
        <v>5.8099999999999999E-2</v>
      </c>
      <c r="H78" s="271" t="s">
        <v>184</v>
      </c>
      <c r="I78" s="268">
        <v>2.0999999999999999E-3</v>
      </c>
      <c r="J78" s="267">
        <f t="shared" si="1"/>
        <v>3.9999999999999996E-4</v>
      </c>
    </row>
    <row r="79" spans="1:10" ht="16">
      <c r="A79" s="46" t="str">
        <f>'Sovereign Ratings (Moody''s,S&amp;P)'!A79</f>
        <v>Korea</v>
      </c>
      <c r="B79" s="56" t="str">
        <f>'Sovereign Ratings (Moody''s,S&amp;P)'!D79</f>
        <v>Aa2</v>
      </c>
      <c r="C79" s="118">
        <f>VLOOKUP(A79,$H$24:$J$113,2,FALSE)</f>
        <v>5.0000000000000001E-3</v>
      </c>
      <c r="D79" s="57">
        <f t="shared" si="3"/>
        <v>3.3E-3</v>
      </c>
      <c r="H79" s="265" t="s">
        <v>21</v>
      </c>
      <c r="I79" s="266">
        <v>2.7000000000000001E-3</v>
      </c>
      <c r="J79" s="267">
        <f t="shared" si="1"/>
        <v>1.0000000000000002E-3</v>
      </c>
    </row>
    <row r="80" spans="1:10" ht="16">
      <c r="A80" s="46" t="str">
        <f>'Sovereign Ratings (Moody''s,S&amp;P)'!A80</f>
        <v>Kuwait</v>
      </c>
      <c r="B80" s="56" t="str">
        <f>'Sovereign Ratings (Moody''s,S&amp;P)'!D80</f>
        <v>A1</v>
      </c>
      <c r="C80" s="118">
        <f>VLOOKUP(A80,$H$24:$J$113,2,FALSE)</f>
        <v>1.03E-2</v>
      </c>
      <c r="D80" s="57">
        <f t="shared" si="3"/>
        <v>8.6E-3</v>
      </c>
      <c r="H80" s="265" t="s">
        <v>22</v>
      </c>
      <c r="I80" s="266">
        <v>6.5299999999999997E-2</v>
      </c>
      <c r="J80" s="267">
        <f t="shared" si="1"/>
        <v>6.3600000000000004E-2</v>
      </c>
    </row>
    <row r="81" spans="1:10" ht="16">
      <c r="A81" s="46" t="str">
        <f>'Sovereign Ratings (Moody''s,S&amp;P)'!A81</f>
        <v>Kyrgyzstan</v>
      </c>
      <c r="B81" s="56" t="str">
        <f>'Sovereign Ratings (Moody''s,S&amp;P)'!D81</f>
        <v>B3</v>
      </c>
      <c r="C81" s="118" t="s">
        <v>143</v>
      </c>
      <c r="D81" s="57" t="str">
        <f t="shared" si="3"/>
        <v>NA</v>
      </c>
      <c r="H81" s="265" t="s">
        <v>185</v>
      </c>
      <c r="I81" s="266">
        <v>4.6899999999999997E-2</v>
      </c>
      <c r="J81" s="267">
        <f t="shared" si="1"/>
        <v>4.5199999999999997E-2</v>
      </c>
    </row>
    <row r="82" spans="1:10" ht="16">
      <c r="A82" s="46" t="str">
        <f>'Sovereign Ratings (Moody''s,S&amp;P)'!A82</f>
        <v>Laos</v>
      </c>
      <c r="B82" s="56" t="str">
        <f>'Sovereign Ratings (Moody''s,S&amp;P)'!D82</f>
        <v>Caa2</v>
      </c>
      <c r="C82" s="118" t="s">
        <v>143</v>
      </c>
      <c r="D82" s="57" t="str">
        <f t="shared" si="3"/>
        <v>NA</v>
      </c>
      <c r="H82" s="265" t="s">
        <v>23</v>
      </c>
      <c r="I82" s="266">
        <v>1.8E-3</v>
      </c>
      <c r="J82" s="267">
        <f t="shared" si="1"/>
        <v>1.0000000000000005E-4</v>
      </c>
    </row>
    <row r="83" spans="1:10" ht="16">
      <c r="A83" s="46" t="str">
        <f>'Sovereign Ratings (Moody''s,S&amp;P)'!A83</f>
        <v>Latvia</v>
      </c>
      <c r="B83" s="56" t="str">
        <f>'Sovereign Ratings (Moody''s,S&amp;P)'!D83</f>
        <v>A3</v>
      </c>
      <c r="C83" s="118">
        <f>VLOOKUP(A83,$H$24:$J$113,2,FALSE)</f>
        <v>8.3000000000000001E-3</v>
      </c>
      <c r="D83" s="57">
        <f t="shared" si="3"/>
        <v>6.6E-3</v>
      </c>
      <c r="H83" s="265" t="s">
        <v>24</v>
      </c>
      <c r="I83" s="266">
        <v>1.5699999999999999E-2</v>
      </c>
      <c r="J83" s="267">
        <f t="shared" si="1"/>
        <v>1.3999999999999999E-2</v>
      </c>
    </row>
    <row r="84" spans="1:10" ht="16">
      <c r="A84" s="46" t="str">
        <f>'Sovereign Ratings (Moody''s,S&amp;P)'!A84</f>
        <v>Lebanon</v>
      </c>
      <c r="B84" s="56" t="str">
        <f>'Sovereign Ratings (Moody''s,S&amp;P)'!D84</f>
        <v>C</v>
      </c>
      <c r="C84" s="118" t="str">
        <f>VLOOKUP(A84,$H$24:$J$113,2,FALSE)</f>
        <v>NA</v>
      </c>
      <c r="D84" s="57" t="str">
        <f t="shared" si="3"/>
        <v>NA</v>
      </c>
      <c r="H84" s="265" t="s">
        <v>25</v>
      </c>
      <c r="I84" s="272">
        <v>6.8599999999999994E-2</v>
      </c>
      <c r="J84" s="267">
        <f t="shared" si="1"/>
        <v>6.6900000000000001E-2</v>
      </c>
    </row>
    <row r="85" spans="1:10" ht="16">
      <c r="A85" s="46" t="str">
        <f>'Sovereign Ratings (Moody''s,S&amp;P)'!A85</f>
        <v>Liechtenstein</v>
      </c>
      <c r="B85" s="56" t="str">
        <f>'Sovereign Ratings (Moody''s,S&amp;P)'!D85</f>
        <v>Aaa</v>
      </c>
      <c r="C85" s="118" t="s">
        <v>143</v>
      </c>
      <c r="D85" s="57" t="str">
        <f t="shared" si="3"/>
        <v>NA</v>
      </c>
      <c r="H85" s="265" t="s">
        <v>26</v>
      </c>
      <c r="I85" s="266">
        <v>2.1999999999999999E-2</v>
      </c>
      <c r="J85" s="267">
        <f t="shared" si="1"/>
        <v>2.0299999999999999E-2</v>
      </c>
    </row>
    <row r="86" spans="1:10" ht="16">
      <c r="A86" s="46" t="str">
        <f>'Sovereign Ratings (Moody''s,S&amp;P)'!A86</f>
        <v>Lithuania</v>
      </c>
      <c r="B86" s="56" t="str">
        <f>'Sovereign Ratings (Moody''s,S&amp;P)'!D86</f>
        <v>A2</v>
      </c>
      <c r="C86" s="118">
        <f>VLOOKUP(A86,$H$24:$J$113,2,FALSE)</f>
        <v>8.2000000000000007E-3</v>
      </c>
      <c r="D86" s="57">
        <f t="shared" si="3"/>
        <v>6.5000000000000006E-3</v>
      </c>
      <c r="H86" s="265" t="s">
        <v>28</v>
      </c>
      <c r="I86" s="266">
        <v>1.41E-2</v>
      </c>
      <c r="J86" s="267">
        <f t="shared" si="1"/>
        <v>1.24E-2</v>
      </c>
    </row>
    <row r="87" spans="1:10" ht="16">
      <c r="A87" s="46" t="str">
        <f>'Sovereign Ratings (Moody''s,S&amp;P)'!A87</f>
        <v>Luxembourg</v>
      </c>
      <c r="B87" s="56" t="str">
        <f>'Sovereign Ratings (Moody''s,S&amp;P)'!D87</f>
        <v>Aaa</v>
      </c>
      <c r="C87" s="118" t="s">
        <v>143</v>
      </c>
      <c r="D87" s="57" t="str">
        <f t="shared" si="3"/>
        <v>NA</v>
      </c>
      <c r="H87" s="265" t="s">
        <v>29</v>
      </c>
      <c r="I87" s="266">
        <v>1.3299999999999999E-2</v>
      </c>
      <c r="J87" s="267">
        <f t="shared" si="1"/>
        <v>1.1599999999999999E-2</v>
      </c>
    </row>
    <row r="88" spans="1:10" ht="16">
      <c r="A88" s="46" t="str">
        <f>'Sovereign Ratings (Moody''s,S&amp;P)'!A88</f>
        <v>Macao</v>
      </c>
      <c r="B88" s="56" t="str">
        <f>'Sovereign Ratings (Moody''s,S&amp;P)'!D88</f>
        <v>Aa3</v>
      </c>
      <c r="C88" s="118" t="s">
        <v>143</v>
      </c>
      <c r="D88" s="57" t="str">
        <f t="shared" si="3"/>
        <v>NA</v>
      </c>
      <c r="H88" s="265" t="s">
        <v>30</v>
      </c>
      <c r="I88" s="266">
        <v>1.0699999999999999E-2</v>
      </c>
      <c r="J88" s="267">
        <f t="shared" si="1"/>
        <v>8.9999999999999993E-3</v>
      </c>
    </row>
    <row r="89" spans="1:10" ht="16">
      <c r="A89" s="46" t="str">
        <f>'Sovereign Ratings (Moody''s,S&amp;P)'!A89</f>
        <v>Macedonia</v>
      </c>
      <c r="B89" s="56" t="str">
        <f>'Sovereign Ratings (Moody''s,S&amp;P)'!D89</f>
        <v>Ba3</v>
      </c>
      <c r="C89" s="118" t="s">
        <v>143</v>
      </c>
      <c r="D89" s="57" t="str">
        <f t="shared" si="3"/>
        <v>NA</v>
      </c>
      <c r="H89" s="265" t="s">
        <v>186</v>
      </c>
      <c r="I89" s="266">
        <v>4.3E-3</v>
      </c>
      <c r="J89" s="267">
        <f t="shared" ref="J89:J113" si="4">IF(I89="NA","NA",IF(I89&lt;$I$103,0,I89-$I$103))</f>
        <v>2.5999999999999999E-3</v>
      </c>
    </row>
    <row r="90" spans="1:10" ht="16">
      <c r="A90" s="46" t="str">
        <f>'Sovereign Ratings (Moody''s,S&amp;P)'!A90</f>
        <v>Malaysia</v>
      </c>
      <c r="B90" s="56" t="str">
        <f>'Sovereign Ratings (Moody''s,S&amp;P)'!D90</f>
        <v>A3</v>
      </c>
      <c r="C90" s="118">
        <f>VLOOKUP(A90,$H$24:$J$113,2,FALSE)</f>
        <v>7.7999999999999996E-3</v>
      </c>
      <c r="D90" s="57">
        <f t="shared" si="3"/>
        <v>6.0999999999999995E-3</v>
      </c>
      <c r="H90" s="265" t="s">
        <v>74</v>
      </c>
      <c r="I90" s="266">
        <v>8.9999999999999993E-3</v>
      </c>
      <c r="J90" s="267">
        <f t="shared" si="4"/>
        <v>7.2999999999999992E-3</v>
      </c>
    </row>
    <row r="91" spans="1:10" ht="16">
      <c r="A91" s="46" t="str">
        <f>'Sovereign Ratings (Moody''s,S&amp;P)'!A91</f>
        <v>Maldives</v>
      </c>
      <c r="B91" s="56" t="str">
        <f>'Sovereign Ratings (Moody''s,S&amp;P)'!D91</f>
        <v>Caa2</v>
      </c>
      <c r="C91" s="118" t="s">
        <v>143</v>
      </c>
      <c r="D91" s="57" t="str">
        <f t="shared" si="3"/>
        <v>NA</v>
      </c>
      <c r="H91" s="265" t="s">
        <v>0</v>
      </c>
      <c r="I91" s="266">
        <v>2.4199999999999999E-2</v>
      </c>
      <c r="J91" s="267">
        <f t="shared" si="4"/>
        <v>2.2499999999999999E-2</v>
      </c>
    </row>
    <row r="92" spans="1:10" ht="16">
      <c r="A92" s="46" t="str">
        <f>'Sovereign Ratings (Moody''s,S&amp;P)'!A92</f>
        <v>Mali</v>
      </c>
      <c r="B92" s="56" t="str">
        <f>'Sovereign Ratings (Moody''s,S&amp;P)'!D92</f>
        <v>Caa2</v>
      </c>
      <c r="C92" s="118" t="s">
        <v>143</v>
      </c>
      <c r="D92" s="57" t="str">
        <f t="shared" si="3"/>
        <v>NA</v>
      </c>
      <c r="H92" s="265" t="s">
        <v>1</v>
      </c>
      <c r="I92" s="273" t="s">
        <v>143</v>
      </c>
      <c r="J92" s="267" t="str">
        <f t="shared" si="4"/>
        <v>NA</v>
      </c>
    </row>
    <row r="93" spans="1:10" ht="16">
      <c r="A93" s="46" t="str">
        <f>'Sovereign Ratings (Moody''s,S&amp;P)'!A93</f>
        <v>Malta</v>
      </c>
      <c r="B93" s="56" t="str">
        <f>'Sovereign Ratings (Moody''s,S&amp;P)'!D93</f>
        <v>A2</v>
      </c>
      <c r="C93" s="118" t="s">
        <v>143</v>
      </c>
      <c r="D93" s="57" t="str">
        <f t="shared" si="3"/>
        <v>NA</v>
      </c>
      <c r="H93" s="265" t="s">
        <v>224</v>
      </c>
      <c r="I93" s="266">
        <v>3.9399999999999998E-2</v>
      </c>
      <c r="J93" s="267">
        <f t="shared" si="4"/>
        <v>3.7699999999999997E-2</v>
      </c>
    </row>
    <row r="94" spans="1:10" ht="16">
      <c r="A94" s="46" t="str">
        <f>'Sovereign Ratings (Moody''s,S&amp;P)'!A94</f>
        <v>Mauritius</v>
      </c>
      <c r="B94" s="56" t="str">
        <f>'Sovereign Ratings (Moody''s,S&amp;P)'!D94</f>
        <v>Baa3</v>
      </c>
      <c r="C94" s="118" t="s">
        <v>143</v>
      </c>
      <c r="D94" s="57" t="str">
        <f t="shared" si="3"/>
        <v>NA</v>
      </c>
      <c r="H94" s="265" t="s">
        <v>2</v>
      </c>
      <c r="I94" s="266">
        <v>1.2699999999999999E-2</v>
      </c>
      <c r="J94" s="267">
        <f t="shared" si="4"/>
        <v>1.0999999999999999E-2</v>
      </c>
    </row>
    <row r="95" spans="1:10" ht="16">
      <c r="A95" s="46" t="str">
        <f>'Sovereign Ratings (Moody''s,S&amp;P)'!A95</f>
        <v>Mexico</v>
      </c>
      <c r="B95" s="56" t="str">
        <f>'Sovereign Ratings (Moody''s,S&amp;P)'!D95</f>
        <v>Baa2</v>
      </c>
      <c r="C95" s="118">
        <f>VLOOKUP(A95,$H$24:$J$113,2,FALSE)</f>
        <v>1.8599999999999998E-2</v>
      </c>
      <c r="D95" s="57">
        <f t="shared" si="3"/>
        <v>1.6899999999999998E-2</v>
      </c>
      <c r="H95" s="265" t="s">
        <v>135</v>
      </c>
      <c r="I95" s="266">
        <v>8.6999999999999994E-2</v>
      </c>
      <c r="J95" s="267">
        <f t="shared" si="4"/>
        <v>8.5300000000000001E-2</v>
      </c>
    </row>
    <row r="96" spans="1:10" ht="16">
      <c r="A96" s="46" t="str">
        <f>'Sovereign Ratings (Moody''s,S&amp;P)'!A96</f>
        <v>Moldova</v>
      </c>
      <c r="B96" s="56" t="str">
        <f>'Sovereign Ratings (Moody''s,S&amp;P)'!D96</f>
        <v>B3</v>
      </c>
      <c r="C96" s="118" t="s">
        <v>143</v>
      </c>
      <c r="D96" s="57" t="str">
        <f t="shared" si="3"/>
        <v>NA</v>
      </c>
      <c r="H96" s="265" t="s">
        <v>146</v>
      </c>
      <c r="I96" s="266">
        <v>2.12E-2</v>
      </c>
      <c r="J96" s="267">
        <f t="shared" si="4"/>
        <v>1.95E-2</v>
      </c>
    </row>
    <row r="97" spans="1:10" ht="16">
      <c r="A97" s="46" t="str">
        <f>'Sovereign Ratings (Moody''s,S&amp;P)'!A97</f>
        <v>Mongolia</v>
      </c>
      <c r="B97" s="56" t="str">
        <f>'Sovereign Ratings (Moody''s,S&amp;P)'!D97</f>
        <v>B1</v>
      </c>
      <c r="C97" s="118" t="s">
        <v>143</v>
      </c>
      <c r="D97" s="57" t="str">
        <f t="shared" si="3"/>
        <v>NA</v>
      </c>
      <c r="H97" s="265" t="s">
        <v>61</v>
      </c>
      <c r="I97" s="266">
        <v>6.7999999999999996E-3</v>
      </c>
      <c r="J97" s="267">
        <f t="shared" si="4"/>
        <v>5.0999999999999995E-3</v>
      </c>
    </row>
    <row r="98" spans="1:10" ht="16">
      <c r="A98" s="46" t="str">
        <f>'Sovereign Ratings (Moody''s,S&amp;P)'!A98</f>
        <v>Montenegro</v>
      </c>
      <c r="B98" s="56" t="str">
        <f>'Sovereign Ratings (Moody''s,S&amp;P)'!D98</f>
        <v>B1</v>
      </c>
      <c r="C98" s="118" t="s">
        <v>143</v>
      </c>
      <c r="D98" s="57" t="str">
        <f t="shared" si="3"/>
        <v>NA</v>
      </c>
      <c r="H98" s="265" t="s">
        <v>187</v>
      </c>
      <c r="I98" s="266">
        <v>7.9000000000000008E-3</v>
      </c>
      <c r="J98" s="267">
        <f t="shared" si="4"/>
        <v>6.2000000000000006E-3</v>
      </c>
    </row>
    <row r="99" spans="1:10" ht="16">
      <c r="A99" s="46" t="str">
        <f>'Sovereign Ratings (Moody''s,S&amp;P)'!A99</f>
        <v>Montserrat</v>
      </c>
      <c r="B99" s="56" t="str">
        <f>'Sovereign Ratings (Moody''s,S&amp;P)'!D99</f>
        <v>Baa3</v>
      </c>
      <c r="C99" s="118" t="s">
        <v>143</v>
      </c>
      <c r="D99" s="57" t="str">
        <f t="shared" si="3"/>
        <v>NA</v>
      </c>
      <c r="H99" s="265" t="s">
        <v>76</v>
      </c>
      <c r="I99" s="266">
        <v>3.04E-2</v>
      </c>
      <c r="J99" s="267">
        <f t="shared" si="4"/>
        <v>2.87E-2</v>
      </c>
    </row>
    <row r="100" spans="1:10" ht="16">
      <c r="A100" s="46" t="str">
        <f>'Sovereign Ratings (Moody''s,S&amp;P)'!A100</f>
        <v>Morocco</v>
      </c>
      <c r="B100" s="56" t="str">
        <f>'Sovereign Ratings (Moody''s,S&amp;P)'!D100</f>
        <v>Ba1</v>
      </c>
      <c r="C100" s="118">
        <f>VLOOKUP(A100,$H$24:$J$113,2,FALSE)</f>
        <v>1.6E-2</v>
      </c>
      <c r="D100" s="57">
        <f t="shared" si="3"/>
        <v>1.43E-2</v>
      </c>
      <c r="H100" s="265" t="s">
        <v>138</v>
      </c>
      <c r="I100" s="266">
        <v>4.5999999999999999E-3</v>
      </c>
      <c r="J100" s="267">
        <f t="shared" si="4"/>
        <v>2.8999999999999998E-3</v>
      </c>
    </row>
    <row r="101" spans="1:10" ht="16">
      <c r="A101" s="46" t="str">
        <f>'Sovereign Ratings (Moody''s,S&amp;P)'!A101</f>
        <v>Mozambique</v>
      </c>
      <c r="B101" s="56" t="str">
        <f>'Sovereign Ratings (Moody''s,S&amp;P)'!D101</f>
        <v>Caa3</v>
      </c>
      <c r="C101" s="118" t="s">
        <v>143</v>
      </c>
      <c r="D101" s="57" t="str">
        <f t="shared" si="3"/>
        <v>NA</v>
      </c>
      <c r="H101" s="265" t="s">
        <v>134</v>
      </c>
      <c r="I101" s="266" t="s">
        <v>143</v>
      </c>
      <c r="J101" s="267" t="str">
        <f t="shared" si="4"/>
        <v>NA</v>
      </c>
    </row>
    <row r="102" spans="1:10" ht="16">
      <c r="A102" s="46" t="str">
        <f>'Sovereign Ratings (Moody''s,S&amp;P)'!A102</f>
        <v>Namibia</v>
      </c>
      <c r="B102" s="56" t="str">
        <f>'Sovereign Ratings (Moody''s,S&amp;P)'!D102</f>
        <v>B1</v>
      </c>
      <c r="C102" s="118" t="s">
        <v>143</v>
      </c>
      <c r="D102" s="57" t="str">
        <f t="shared" si="3"/>
        <v>NA</v>
      </c>
      <c r="H102" s="265" t="s">
        <v>34</v>
      </c>
      <c r="I102" s="266">
        <v>1.9E-3</v>
      </c>
      <c r="J102" s="267">
        <f t="shared" si="4"/>
        <v>2.0000000000000009E-4</v>
      </c>
    </row>
    <row r="103" spans="1:10" ht="16">
      <c r="A103" s="46" t="s">
        <v>369</v>
      </c>
      <c r="B103" s="56" t="str">
        <f>'Sovereign Ratings (Moody''s,S&amp;P)'!D103</f>
        <v>Ba3</v>
      </c>
      <c r="C103" s="118" t="s">
        <v>143</v>
      </c>
      <c r="D103" s="57" t="str">
        <f t="shared" si="3"/>
        <v>NA</v>
      </c>
      <c r="H103" s="265" t="s">
        <v>35</v>
      </c>
      <c r="I103" s="266">
        <v>1.6999999999999999E-3</v>
      </c>
      <c r="J103" s="267">
        <f t="shared" si="4"/>
        <v>0</v>
      </c>
    </row>
    <row r="104" spans="1:10" ht="16">
      <c r="A104" s="46" t="str">
        <f>'Sovereign Ratings (Moody''s,S&amp;P)'!A104</f>
        <v>Netherlands</v>
      </c>
      <c r="B104" s="56" t="str">
        <f>'Sovereign Ratings (Moody''s,S&amp;P)'!D104</f>
        <v>Aaa</v>
      </c>
      <c r="C104" s="118">
        <f>VLOOKUP(A104,$H$24:$J$113,2,FALSE)</f>
        <v>2.0999999999999999E-3</v>
      </c>
      <c r="D104" s="57">
        <f t="shared" si="3"/>
        <v>3.9999999999999996E-4</v>
      </c>
      <c r="H104" s="265" t="s">
        <v>65</v>
      </c>
      <c r="I104" s="266">
        <v>8.8999999999999999E-3</v>
      </c>
      <c r="J104" s="267">
        <f t="shared" si="4"/>
        <v>7.1999999999999998E-3</v>
      </c>
    </row>
    <row r="105" spans="1:10" ht="16">
      <c r="A105" s="46" t="str">
        <f>'Sovereign Ratings (Moody''s,S&amp;P)'!A105</f>
        <v>New Zealand</v>
      </c>
      <c r="B105" s="56" t="str">
        <f>'Sovereign Ratings (Moody''s,S&amp;P)'!D105</f>
        <v>Aaa</v>
      </c>
      <c r="C105" s="118">
        <f>VLOOKUP(A105,$H$24:$J$113,2,FALSE)</f>
        <v>2.7000000000000001E-3</v>
      </c>
      <c r="D105" s="57">
        <f t="shared" si="3"/>
        <v>1.0000000000000002E-3</v>
      </c>
      <c r="H105" s="265" t="s">
        <v>77</v>
      </c>
      <c r="I105" s="266">
        <v>6.9400000000000003E-2</v>
      </c>
      <c r="J105" s="267">
        <f t="shared" si="4"/>
        <v>6.770000000000001E-2</v>
      </c>
    </row>
    <row r="106" spans="1:10" ht="16">
      <c r="A106" s="46" t="str">
        <f>'Sovereign Ratings (Moody''s,S&amp;P)'!A106</f>
        <v>Nicaragua</v>
      </c>
      <c r="B106" s="56" t="str">
        <f>'Sovereign Ratings (Moody''s,S&amp;P)'!D106</f>
        <v>B2</v>
      </c>
      <c r="C106" s="118">
        <f>VLOOKUP(A106,$H$24:$J$113,2,FALSE)</f>
        <v>6.5299999999999997E-2</v>
      </c>
      <c r="D106" s="57">
        <f t="shared" si="3"/>
        <v>6.3600000000000004E-2</v>
      </c>
      <c r="H106" s="265" t="s">
        <v>66</v>
      </c>
      <c r="I106" s="266">
        <v>4.0800000000000003E-2</v>
      </c>
      <c r="J106" s="267">
        <f t="shared" si="4"/>
        <v>3.9100000000000003E-2</v>
      </c>
    </row>
    <row r="107" spans="1:10" ht="16">
      <c r="A107" s="46" t="s">
        <v>313</v>
      </c>
      <c r="B107" s="56" t="str">
        <f>'Sovereign Ratings (Moody''s,S&amp;P)'!D107</f>
        <v>Caa3</v>
      </c>
      <c r="C107" s="118" t="s">
        <v>143</v>
      </c>
      <c r="D107" s="57" t="str">
        <f t="shared" si="3"/>
        <v>NA</v>
      </c>
      <c r="H107" s="265" t="s">
        <v>68</v>
      </c>
      <c r="I107" s="266" t="s">
        <v>143</v>
      </c>
      <c r="J107" s="267" t="str">
        <f t="shared" si="4"/>
        <v>NA</v>
      </c>
    </row>
    <row r="108" spans="1:10" ht="16">
      <c r="A108" s="46" t="str">
        <f>'Sovereign Ratings (Moody''s,S&amp;P)'!A108</f>
        <v>Nigeria</v>
      </c>
      <c r="B108" s="56" t="str">
        <f>'Sovereign Ratings (Moody''s,S&amp;P)'!D108</f>
        <v>B3</v>
      </c>
      <c r="C108" s="118">
        <f>VLOOKUP(A108,$H$24:$J$113,2,FALSE)</f>
        <v>4.6899999999999997E-2</v>
      </c>
      <c r="D108" s="57">
        <f t="shared" si="3"/>
        <v>4.5199999999999997E-2</v>
      </c>
      <c r="H108" s="265" t="s">
        <v>57</v>
      </c>
      <c r="I108" s="266">
        <v>4.1999999999999997E-3</v>
      </c>
      <c r="J108" s="267">
        <f t="shared" si="4"/>
        <v>2.4999999999999996E-3</v>
      </c>
    </row>
    <row r="109" spans="1:10" ht="16">
      <c r="A109" s="46" t="str">
        <f>'Sovereign Ratings (Moody''s,S&amp;P)'!A109</f>
        <v>Norway</v>
      </c>
      <c r="B109" s="56" t="str">
        <f>'Sovereign Ratings (Moody''s,S&amp;P)'!D109</f>
        <v>Aaa</v>
      </c>
      <c r="C109" s="118">
        <f>VLOOKUP(A109,$H$24:$J$113,2,FALSE)</f>
        <v>1.8E-3</v>
      </c>
      <c r="D109" s="57">
        <f t="shared" si="3"/>
        <v>1.0000000000000005E-4</v>
      </c>
      <c r="H109" s="265" t="s">
        <v>345</v>
      </c>
      <c r="I109" s="266">
        <v>5.7000000000000002E-3</v>
      </c>
      <c r="J109" s="267">
        <f t="shared" si="4"/>
        <v>4.0000000000000001E-3</v>
      </c>
    </row>
    <row r="110" spans="1:10" ht="16">
      <c r="A110" s="46" t="str">
        <f>'Sovereign Ratings (Moody''s,S&amp;P)'!A110</f>
        <v>Oman</v>
      </c>
      <c r="B110" s="56" t="str">
        <f>'Sovereign Ratings (Moody''s,S&amp;P)'!D110</f>
        <v>Baa3</v>
      </c>
      <c r="C110" s="118">
        <f>VLOOKUP(A110,$H$24:$J$113,2,FALSE)</f>
        <v>1.5699999999999999E-2</v>
      </c>
      <c r="D110" s="57">
        <f t="shared" si="3"/>
        <v>1.3999999999999999E-2</v>
      </c>
      <c r="H110" s="265" t="s">
        <v>69</v>
      </c>
      <c r="I110" s="266">
        <v>1.03E-2</v>
      </c>
      <c r="J110" s="267">
        <f t="shared" si="4"/>
        <v>8.6E-3</v>
      </c>
    </row>
    <row r="111" spans="1:10" ht="16">
      <c r="A111" s="46" t="str">
        <f>'Sovereign Ratings (Moody''s,S&amp;P)'!A111</f>
        <v>Pakistan</v>
      </c>
      <c r="B111" s="56" t="str">
        <f>'Sovereign Ratings (Moody''s,S&amp;P)'!D111</f>
        <v>Caa1</v>
      </c>
      <c r="C111" s="118">
        <f>VLOOKUP(A111,$H$24:$J$113,2,FALSE)</f>
        <v>6.8599999999999994E-2</v>
      </c>
      <c r="D111" s="57">
        <f t="shared" si="3"/>
        <v>6.6900000000000001E-2</v>
      </c>
      <c r="H111" s="265" t="s">
        <v>70</v>
      </c>
      <c r="I111" s="266" t="s">
        <v>143</v>
      </c>
      <c r="J111" s="267" t="str">
        <f t="shared" si="4"/>
        <v>NA</v>
      </c>
    </row>
    <row r="112" spans="1:10" ht="16">
      <c r="A112" s="46" t="str">
        <f>'Sovereign Ratings (Moody''s,S&amp;P)'!A112</f>
        <v>Panama</v>
      </c>
      <c r="B112" s="56" t="str">
        <f>'Sovereign Ratings (Moody''s,S&amp;P)'!D112</f>
        <v>Baa3</v>
      </c>
      <c r="C112" s="118">
        <f>VLOOKUP(A112,$H$24:$J$113,2,FALSE)</f>
        <v>2.1999999999999999E-2</v>
      </c>
      <c r="D112" s="57">
        <f t="shared" si="3"/>
        <v>2.0299999999999999E-2</v>
      </c>
      <c r="H112" s="219" t="s">
        <v>71</v>
      </c>
      <c r="I112" s="274">
        <v>1.5900000000000001E-2</v>
      </c>
      <c r="J112" s="267">
        <f t="shared" si="4"/>
        <v>1.4200000000000001E-2</v>
      </c>
    </row>
    <row r="113" spans="1:10" ht="16">
      <c r="A113" s="46" t="str">
        <f>'Sovereign Ratings (Moody''s,S&amp;P)'!A113</f>
        <v>Papua New Guinea</v>
      </c>
      <c r="B113" s="56" t="str">
        <f>'Sovereign Ratings (Moody''s,S&amp;P)'!D113</f>
        <v>B2</v>
      </c>
      <c r="C113" s="118" t="s">
        <v>143</v>
      </c>
      <c r="D113" s="57" t="str">
        <f t="shared" si="3"/>
        <v>NA</v>
      </c>
      <c r="H113" s="219" t="s">
        <v>189</v>
      </c>
      <c r="I113" s="274">
        <v>5.1299999999999998E-2</v>
      </c>
      <c r="J113" s="267">
        <f t="shared" si="4"/>
        <v>4.9599999999999998E-2</v>
      </c>
    </row>
    <row r="114" spans="1:10" ht="16">
      <c r="A114" s="46" t="str">
        <f>'Sovereign Ratings (Moody''s,S&amp;P)'!A114</f>
        <v>Paraguay</v>
      </c>
      <c r="B114" s="56" t="str">
        <f>'Sovereign Ratings (Moody''s,S&amp;P)'!D114</f>
        <v>Baa3</v>
      </c>
      <c r="C114" s="118" t="s">
        <v>143</v>
      </c>
      <c r="D114" s="57" t="str">
        <f t="shared" si="3"/>
        <v>NA</v>
      </c>
    </row>
    <row r="115" spans="1:10" ht="16">
      <c r="A115" s="46" t="str">
        <f>'Sovereign Ratings (Moody''s,S&amp;P)'!A115</f>
        <v>Peru</v>
      </c>
      <c r="B115" s="56" t="str">
        <f>'Sovereign Ratings (Moody''s,S&amp;P)'!D115</f>
        <v>Baa1</v>
      </c>
      <c r="C115" s="118">
        <f>VLOOKUP(A115,$H$24:$J$113,2,FALSE)</f>
        <v>1.41E-2</v>
      </c>
      <c r="D115" s="57">
        <f t="shared" si="3"/>
        <v>1.24E-2</v>
      </c>
    </row>
    <row r="116" spans="1:10" ht="16">
      <c r="A116" s="46" t="str">
        <f>'Sovereign Ratings (Moody''s,S&amp;P)'!A116</f>
        <v>Philippines</v>
      </c>
      <c r="B116" s="56" t="str">
        <f>'Sovereign Ratings (Moody''s,S&amp;P)'!D116</f>
        <v>Baa2</v>
      </c>
      <c r="C116" s="118">
        <f>VLOOKUP(A116,$H$24:$J$113,2,FALSE)</f>
        <v>1.3299999999999999E-2</v>
      </c>
      <c r="D116" s="57">
        <f t="shared" si="3"/>
        <v>1.1599999999999999E-2</v>
      </c>
    </row>
    <row r="117" spans="1:10" ht="16">
      <c r="A117" s="46" t="str">
        <f>'Sovereign Ratings (Moody''s,S&amp;P)'!A117</f>
        <v>Poland</v>
      </c>
      <c r="B117" s="56" t="str">
        <f>'Sovereign Ratings (Moody''s,S&amp;P)'!D117</f>
        <v>A2</v>
      </c>
      <c r="C117" s="118">
        <f>VLOOKUP(A117,$H$24:$J$113,2,FALSE)</f>
        <v>1.0699999999999999E-2</v>
      </c>
      <c r="D117" s="57">
        <f t="shared" si="3"/>
        <v>8.9999999999999993E-3</v>
      </c>
    </row>
    <row r="118" spans="1:10" ht="16">
      <c r="A118" s="46" t="str">
        <f>'Sovereign Ratings (Moody''s,S&amp;P)'!A118</f>
        <v>Portugal</v>
      </c>
      <c r="B118" s="56" t="str">
        <f>'Sovereign Ratings (Moody''s,S&amp;P)'!D118</f>
        <v>A3</v>
      </c>
      <c r="C118" s="118">
        <f>VLOOKUP(A118,$H$24:$J$113,2,FALSE)</f>
        <v>4.3E-3</v>
      </c>
      <c r="D118" s="57">
        <f t="shared" si="3"/>
        <v>2.5999999999999999E-3</v>
      </c>
    </row>
    <row r="119" spans="1:10" ht="16">
      <c r="A119" s="46" t="str">
        <f>'Sovereign Ratings (Moody''s,S&amp;P)'!A119</f>
        <v>Qatar</v>
      </c>
      <c r="B119" s="56" t="str">
        <f>'Sovereign Ratings (Moody''s,S&amp;P)'!D119</f>
        <v>Aa2</v>
      </c>
      <c r="C119" s="118">
        <f>VLOOKUP(A119,$H$24:$J$113,2,FALSE)</f>
        <v>8.9999999999999993E-3</v>
      </c>
      <c r="D119" s="57">
        <f t="shared" si="3"/>
        <v>7.2999999999999992E-3</v>
      </c>
    </row>
    <row r="120" spans="1:10" ht="16">
      <c r="A120" s="46" t="str">
        <f>'Sovereign Ratings (Moody''s,S&amp;P)'!A120</f>
        <v>Ras Al Khaimah (Emirate of)</v>
      </c>
      <c r="B120" s="56" t="str">
        <f>'Sovereign Ratings (Moody''s,S&amp;P)'!D120</f>
        <v>A3</v>
      </c>
      <c r="C120" s="118" t="s">
        <v>143</v>
      </c>
      <c r="D120" s="57" t="str">
        <f t="shared" si="3"/>
        <v>NA</v>
      </c>
    </row>
    <row r="121" spans="1:10" ht="16">
      <c r="A121" s="46" t="str">
        <f>'Sovereign Ratings (Moody''s,S&amp;P)'!A121</f>
        <v>Romania</v>
      </c>
      <c r="B121" s="56" t="str">
        <f>'Sovereign Ratings (Moody''s,S&amp;P)'!D121</f>
        <v>Baa3</v>
      </c>
      <c r="C121" s="118">
        <f t="shared" ref="C121" si="5">VLOOKUP(A121,$H$24:$J$113,2,FALSE)</f>
        <v>2.4199999999999999E-2</v>
      </c>
      <c r="D121" s="57">
        <f t="shared" si="3"/>
        <v>2.2499999999999999E-2</v>
      </c>
    </row>
    <row r="122" spans="1:10" ht="16">
      <c r="A122" s="46" t="str">
        <f>'Sovereign Ratings (Moody''s,S&amp;P)'!A122</f>
        <v>Rwanda</v>
      </c>
      <c r="B122" s="56" t="str">
        <f>'Sovereign Ratings (Moody''s,S&amp;P)'!D122</f>
        <v>B2</v>
      </c>
      <c r="C122" s="118">
        <f t="shared" ref="C122:C158" si="6">VLOOKUP(A122,$H$24:$J$113,2,FALSE)</f>
        <v>3.9399999999999998E-2</v>
      </c>
      <c r="D122" s="57">
        <f t="shared" si="3"/>
        <v>3.7699999999999997E-2</v>
      </c>
    </row>
    <row r="123" spans="1:10" ht="16">
      <c r="A123" s="46" t="str">
        <f>'Sovereign Ratings (Moody''s,S&amp;P)'!A123</f>
        <v>Saudi Arabia</v>
      </c>
      <c r="B123" s="56" t="str">
        <f>'Sovereign Ratings (Moody''s,S&amp;P)'!D123</f>
        <v>Aa3</v>
      </c>
      <c r="C123" s="118">
        <f t="shared" si="6"/>
        <v>1.2699999999999999E-2</v>
      </c>
      <c r="D123" s="57">
        <f t="shared" si="3"/>
        <v>1.0999999999999999E-2</v>
      </c>
    </row>
    <row r="124" spans="1:10" ht="16">
      <c r="A124" s="46" t="str">
        <f>'Sovereign Ratings (Moody''s,S&amp;P)'!A124</f>
        <v>Senegal</v>
      </c>
      <c r="B124" s="56" t="str">
        <f>'Sovereign Ratings (Moody''s,S&amp;P)'!D124</f>
        <v>Caa1</v>
      </c>
      <c r="C124" s="118">
        <f t="shared" si="6"/>
        <v>8.6999999999999994E-2</v>
      </c>
      <c r="D124" s="57">
        <f t="shared" si="3"/>
        <v>8.5300000000000001E-2</v>
      </c>
    </row>
    <row r="125" spans="1:10" ht="16">
      <c r="A125" s="46" t="str">
        <f>'Sovereign Ratings (Moody''s,S&amp;P)'!A125</f>
        <v>Serbia</v>
      </c>
      <c r="B125" s="56" t="str">
        <f>'Sovereign Ratings (Moody''s,S&amp;P)'!D125</f>
        <v>Ba2</v>
      </c>
      <c r="C125" s="118">
        <f t="shared" si="6"/>
        <v>2.12E-2</v>
      </c>
      <c r="D125" s="57">
        <f t="shared" si="3"/>
        <v>1.95E-2</v>
      </c>
    </row>
    <row r="126" spans="1:10" ht="16">
      <c r="A126" s="46" t="str">
        <f>'Sovereign Ratings (Moody''s,S&amp;P)'!A126</f>
        <v>Sharjah</v>
      </c>
      <c r="B126" s="56" t="str">
        <f>'Sovereign Ratings (Moody''s,S&amp;P)'!D126</f>
        <v>Ba1</v>
      </c>
      <c r="C126" s="118" t="e">
        <f t="shared" si="6"/>
        <v>#N/A</v>
      </c>
      <c r="D126" s="57" t="e">
        <f t="shared" si="3"/>
        <v>#N/A</v>
      </c>
    </row>
    <row r="127" spans="1:10" ht="16">
      <c r="A127" s="46" t="str">
        <f>'Sovereign Ratings (Moody''s,S&amp;P)'!A127</f>
        <v>Singapore</v>
      </c>
      <c r="B127" s="56" t="str">
        <f>'Sovereign Ratings (Moody''s,S&amp;P)'!D127</f>
        <v>Aaa</v>
      </c>
      <c r="C127" s="118" t="e">
        <f t="shared" si="6"/>
        <v>#N/A</v>
      </c>
      <c r="D127" s="57" t="e">
        <f t="shared" si="3"/>
        <v>#N/A</v>
      </c>
    </row>
    <row r="128" spans="1:10" ht="16">
      <c r="A128" s="46" t="str">
        <f>'Sovereign Ratings (Moody''s,S&amp;P)'!A128</f>
        <v>Slovakia</v>
      </c>
      <c r="B128" s="56" t="str">
        <f>'Sovereign Ratings (Moody''s,S&amp;P)'!D128</f>
        <v>A3</v>
      </c>
      <c r="C128" s="118">
        <f t="shared" si="6"/>
        <v>6.7999999999999996E-3</v>
      </c>
      <c r="D128" s="57">
        <f t="shared" si="3"/>
        <v>5.0999999999999995E-3</v>
      </c>
    </row>
    <row r="129" spans="1:4" ht="16">
      <c r="A129" s="46" t="str">
        <f>'Sovereign Ratings (Moody''s,S&amp;P)'!A129</f>
        <v>Slovenia</v>
      </c>
      <c r="B129" s="56" t="str">
        <f>'Sovereign Ratings (Moody''s,S&amp;P)'!D129</f>
        <v>A2</v>
      </c>
      <c r="C129" s="118">
        <f t="shared" si="6"/>
        <v>7.9000000000000008E-3</v>
      </c>
      <c r="D129" s="57">
        <f t="shared" si="3"/>
        <v>6.2000000000000006E-3</v>
      </c>
    </row>
    <row r="130" spans="1:4" ht="16">
      <c r="A130" s="46" t="str">
        <f>'Sovereign Ratings (Moody''s,S&amp;P)'!A130</f>
        <v>Solomon Islands</v>
      </c>
      <c r="B130" s="56" t="str">
        <f>'Sovereign Ratings (Moody''s,S&amp;P)'!D130</f>
        <v>Caa1</v>
      </c>
      <c r="C130" s="118" t="e">
        <f t="shared" si="6"/>
        <v>#N/A</v>
      </c>
      <c r="D130" s="57" t="e">
        <f t="shared" si="3"/>
        <v>#N/A</v>
      </c>
    </row>
    <row r="131" spans="1:4" ht="16">
      <c r="A131" s="46" t="str">
        <f>'Sovereign Ratings (Moody''s,S&amp;P)'!A131</f>
        <v>South Africa</v>
      </c>
      <c r="B131" s="56" t="str">
        <f>'Sovereign Ratings (Moody''s,S&amp;P)'!D131</f>
        <v>Ba2</v>
      </c>
      <c r="C131" s="118">
        <f t="shared" si="6"/>
        <v>3.04E-2</v>
      </c>
      <c r="D131" s="57">
        <f t="shared" ref="D131:D158" si="7">IF(C131="NA","NA",IF(C131&gt;$C$139,C131-$C$139,0))</f>
        <v>2.87E-2</v>
      </c>
    </row>
    <row r="132" spans="1:4" ht="16">
      <c r="A132" s="46" t="str">
        <f>'Sovereign Ratings (Moody''s,S&amp;P)'!A132</f>
        <v>Spain</v>
      </c>
      <c r="B132" s="56" t="str">
        <f>'Sovereign Ratings (Moody''s,S&amp;P)'!D132</f>
        <v>A3</v>
      </c>
      <c r="C132" s="118">
        <f t="shared" si="6"/>
        <v>4.5999999999999999E-3</v>
      </c>
      <c r="D132" s="57">
        <f t="shared" si="7"/>
        <v>2.8999999999999998E-3</v>
      </c>
    </row>
    <row r="133" spans="1:4" ht="16">
      <c r="A133" s="46" t="str">
        <f>'Sovereign Ratings (Moody''s,S&amp;P)'!A133</f>
        <v>Sri Lanka</v>
      </c>
      <c r="B133" s="56" t="str">
        <f>'Sovereign Ratings (Moody''s,S&amp;P)'!D133</f>
        <v>Ca</v>
      </c>
      <c r="C133" s="118" t="str">
        <f t="shared" si="6"/>
        <v>NA</v>
      </c>
      <c r="D133" s="57" t="str">
        <f t="shared" si="7"/>
        <v>NA</v>
      </c>
    </row>
    <row r="134" spans="1:4" ht="16">
      <c r="A134" s="46" t="str">
        <f>'Sovereign Ratings (Moody''s,S&amp;P)'!A134</f>
        <v>St. Maarten</v>
      </c>
      <c r="B134" s="56" t="str">
        <f>'Sovereign Ratings (Moody''s,S&amp;P)'!D134</f>
        <v>Ba2</v>
      </c>
      <c r="C134" s="118" t="e">
        <f t="shared" si="6"/>
        <v>#N/A</v>
      </c>
      <c r="D134" s="57" t="e">
        <f t="shared" si="7"/>
        <v>#N/A</v>
      </c>
    </row>
    <row r="135" spans="1:4" ht="16">
      <c r="A135" s="46" t="str">
        <f>'Sovereign Ratings (Moody''s,S&amp;P)'!A135</f>
        <v>St. Vincent &amp; the Grenadines</v>
      </c>
      <c r="B135" s="56" t="str">
        <f>'Sovereign Ratings (Moody''s,S&amp;P)'!D135</f>
        <v>B3</v>
      </c>
      <c r="C135" s="118" t="e">
        <f t="shared" si="6"/>
        <v>#N/A</v>
      </c>
      <c r="D135" s="57" t="e">
        <f t="shared" si="7"/>
        <v>#N/A</v>
      </c>
    </row>
    <row r="136" spans="1:4" ht="16">
      <c r="A136" s="46" t="str">
        <f>'Sovereign Ratings (Moody''s,S&amp;P)'!A136</f>
        <v>Suriname</v>
      </c>
      <c r="B136" s="56" t="str">
        <f>'Sovereign Ratings (Moody''s,S&amp;P)'!D136</f>
        <v>Caa1</v>
      </c>
      <c r="C136" s="118" t="e">
        <f t="shared" si="6"/>
        <v>#N/A</v>
      </c>
      <c r="D136" s="57" t="e">
        <f t="shared" si="7"/>
        <v>#N/A</v>
      </c>
    </row>
    <row r="137" spans="1:4" ht="16">
      <c r="A137" s="46" t="str">
        <f>'Sovereign Ratings (Moody''s,S&amp;P)'!A137</f>
        <v>Swaziland</v>
      </c>
      <c r="B137" s="56" t="str">
        <f>'Sovereign Ratings (Moody''s,S&amp;P)'!D137</f>
        <v>B2</v>
      </c>
      <c r="C137" s="118" t="e">
        <f t="shared" si="6"/>
        <v>#N/A</v>
      </c>
      <c r="D137" s="57" t="e">
        <f t="shared" si="7"/>
        <v>#N/A</v>
      </c>
    </row>
    <row r="138" spans="1:4" ht="16">
      <c r="A138" s="46" t="str">
        <f>'Sovereign Ratings (Moody''s,S&amp;P)'!A138</f>
        <v>Sweden</v>
      </c>
      <c r="B138" s="56" t="str">
        <f>'Sovereign Ratings (Moody''s,S&amp;P)'!D138</f>
        <v>Aaa</v>
      </c>
      <c r="C138" s="118">
        <f t="shared" si="6"/>
        <v>1.9E-3</v>
      </c>
      <c r="D138" s="57">
        <f t="shared" si="7"/>
        <v>2.0000000000000009E-4</v>
      </c>
    </row>
    <row r="139" spans="1:4" ht="16">
      <c r="A139" s="46" t="str">
        <f>'Sovereign Ratings (Moody''s,S&amp;P)'!A139</f>
        <v>Switzerland</v>
      </c>
      <c r="B139" s="56" t="str">
        <f>'Sovereign Ratings (Moody''s,S&amp;P)'!D139</f>
        <v>Aaa</v>
      </c>
      <c r="C139" s="118">
        <f t="shared" si="6"/>
        <v>1.6999999999999999E-3</v>
      </c>
      <c r="D139" s="57">
        <f t="shared" si="7"/>
        <v>0</v>
      </c>
    </row>
    <row r="140" spans="1:4" ht="16">
      <c r="A140" s="46" t="str">
        <f>'Sovereign Ratings (Moody''s,S&amp;P)'!A140</f>
        <v>Taiwan</v>
      </c>
      <c r="B140" s="56" t="str">
        <f>'Sovereign Ratings (Moody''s,S&amp;P)'!D140</f>
        <v>Aa3</v>
      </c>
      <c r="C140" s="118" t="e">
        <f t="shared" si="6"/>
        <v>#N/A</v>
      </c>
      <c r="D140" s="57" t="e">
        <f t="shared" si="7"/>
        <v>#N/A</v>
      </c>
    </row>
    <row r="141" spans="1:4" ht="16">
      <c r="A141" s="46" t="str">
        <f>'Sovereign Ratings (Moody''s,S&amp;P)'!A141</f>
        <v>Tajikistan</v>
      </c>
      <c r="B141" s="56" t="str">
        <f>'Sovereign Ratings (Moody''s,S&amp;P)'!D141</f>
        <v>B2</v>
      </c>
      <c r="C141" s="118" t="e">
        <f t="shared" si="6"/>
        <v>#N/A</v>
      </c>
      <c r="D141" s="57" t="e">
        <f t="shared" si="7"/>
        <v>#N/A</v>
      </c>
    </row>
    <row r="142" spans="1:4" ht="16">
      <c r="A142" s="46" t="str">
        <f>'Sovereign Ratings (Moody''s,S&amp;P)'!A142</f>
        <v>Tanzania</v>
      </c>
      <c r="B142" s="56" t="str">
        <f>'Sovereign Ratings (Moody''s,S&amp;P)'!D142</f>
        <v>B1</v>
      </c>
      <c r="C142" s="118" t="e">
        <f t="shared" si="6"/>
        <v>#N/A</v>
      </c>
      <c r="D142" s="57" t="e">
        <f t="shared" si="7"/>
        <v>#N/A</v>
      </c>
    </row>
    <row r="143" spans="1:4" ht="16">
      <c r="A143" s="46" t="str">
        <f>'Sovereign Ratings (Moody''s,S&amp;P)'!A143</f>
        <v>Thailand</v>
      </c>
      <c r="B143" s="56" t="str">
        <f>'Sovereign Ratings (Moody''s,S&amp;P)'!D143</f>
        <v>Baa1</v>
      </c>
      <c r="C143" s="118">
        <f t="shared" si="6"/>
        <v>8.8999999999999999E-3</v>
      </c>
      <c r="D143" s="57">
        <f t="shared" si="7"/>
        <v>7.1999999999999998E-3</v>
      </c>
    </row>
    <row r="144" spans="1:4" ht="16">
      <c r="A144" s="46" t="str">
        <f>'Sovereign Ratings (Moody''s,S&amp;P)'!A144</f>
        <v>Togo</v>
      </c>
      <c r="B144" s="56" t="str">
        <f>'Sovereign Ratings (Moody''s,S&amp;P)'!D144</f>
        <v>B3</v>
      </c>
      <c r="C144" s="118" t="e">
        <f t="shared" si="6"/>
        <v>#N/A</v>
      </c>
      <c r="D144" s="57" t="e">
        <f t="shared" si="7"/>
        <v>#N/A</v>
      </c>
    </row>
    <row r="145" spans="1:4" ht="16">
      <c r="A145" s="46" t="str">
        <f>'Sovereign Ratings (Moody''s,S&amp;P)'!A145</f>
        <v>Trinidad and Tobago</v>
      </c>
      <c r="B145" s="56" t="str">
        <f>'Sovereign Ratings (Moody''s,S&amp;P)'!D145</f>
        <v>Ba2</v>
      </c>
      <c r="C145" s="118" t="e">
        <f t="shared" si="6"/>
        <v>#N/A</v>
      </c>
      <c r="D145" s="57" t="e">
        <f t="shared" si="7"/>
        <v>#N/A</v>
      </c>
    </row>
    <row r="146" spans="1:4" ht="16">
      <c r="A146" s="46" t="str">
        <f>'Sovereign Ratings (Moody''s,S&amp;P)'!A146</f>
        <v>Tunisia</v>
      </c>
      <c r="B146" s="56" t="str">
        <f>'Sovereign Ratings (Moody''s,S&amp;P)'!D146</f>
        <v>Caa1</v>
      </c>
      <c r="C146" s="118">
        <f t="shared" si="6"/>
        <v>6.9400000000000003E-2</v>
      </c>
      <c r="D146" s="57">
        <f t="shared" si="7"/>
        <v>6.770000000000001E-2</v>
      </c>
    </row>
    <row r="147" spans="1:4" ht="16">
      <c r="A147" s="46" t="str">
        <f>'Sovereign Ratings (Moody''s,S&amp;P)'!A147</f>
        <v>Turkey</v>
      </c>
      <c r="B147" s="56" t="str">
        <f>'Sovereign Ratings (Moody''s,S&amp;P)'!D147</f>
        <v>Ba3</v>
      </c>
      <c r="C147" s="118">
        <f t="shared" si="6"/>
        <v>4.0800000000000003E-2</v>
      </c>
      <c r="D147" s="57">
        <f t="shared" si="7"/>
        <v>3.9100000000000003E-2</v>
      </c>
    </row>
    <row r="148" spans="1:4" ht="16">
      <c r="A148" s="46" t="str">
        <f>'Sovereign Ratings (Moody''s,S&amp;P)'!A148</f>
        <v>Turks and Caicos Islands</v>
      </c>
      <c r="B148" s="56" t="str">
        <f>'Sovereign Ratings (Moody''s,S&amp;P)'!D148</f>
        <v>Baa1</v>
      </c>
      <c r="C148" s="118" t="e">
        <f t="shared" si="6"/>
        <v>#N/A</v>
      </c>
      <c r="D148" s="57" t="e">
        <f t="shared" si="7"/>
        <v>#N/A</v>
      </c>
    </row>
    <row r="149" spans="1:4" ht="16">
      <c r="A149" s="46" t="str">
        <f>'Sovereign Ratings (Moody''s,S&amp;P)'!A149</f>
        <v>Uganda</v>
      </c>
      <c r="B149" s="56" t="str">
        <f>'Sovereign Ratings (Moody''s,S&amp;P)'!D149</f>
        <v>B3</v>
      </c>
      <c r="C149" s="118" t="e">
        <f t="shared" si="6"/>
        <v>#N/A</v>
      </c>
      <c r="D149" s="57" t="e">
        <f t="shared" si="7"/>
        <v>#N/A</v>
      </c>
    </row>
    <row r="150" spans="1:4" ht="16">
      <c r="A150" s="46" t="str">
        <f>'Sovereign Ratings (Moody''s,S&amp;P)'!A150</f>
        <v>Ukraine</v>
      </c>
      <c r="B150" s="56" t="str">
        <f>'Sovereign Ratings (Moody''s,S&amp;P)'!D150</f>
        <v>Ca</v>
      </c>
      <c r="C150" s="118" t="str">
        <f t="shared" si="6"/>
        <v>NA</v>
      </c>
      <c r="D150" s="57" t="str">
        <f t="shared" si="7"/>
        <v>NA</v>
      </c>
    </row>
    <row r="151" spans="1:4" ht="16">
      <c r="A151" s="46" t="str">
        <f>'Sovereign Ratings (Moody''s,S&amp;P)'!A151</f>
        <v>United Arab Emirates</v>
      </c>
      <c r="B151" s="56" t="str">
        <f>'Sovereign Ratings (Moody''s,S&amp;P)'!D151</f>
        <v>Aa2</v>
      </c>
      <c r="C151" s="118" t="e">
        <f t="shared" si="6"/>
        <v>#N/A</v>
      </c>
      <c r="D151" s="57" t="e">
        <f t="shared" si="7"/>
        <v>#N/A</v>
      </c>
    </row>
    <row r="152" spans="1:4" ht="16">
      <c r="A152" s="46" t="str">
        <f>'Sovereign Ratings (Moody''s,S&amp;P)'!A152</f>
        <v>United Kingdom</v>
      </c>
      <c r="B152" s="56" t="str">
        <f>'Sovereign Ratings (Moody''s,S&amp;P)'!D152</f>
        <v>Aa3</v>
      </c>
      <c r="C152" s="118">
        <f t="shared" si="6"/>
        <v>4.1999999999999997E-3</v>
      </c>
      <c r="D152" s="57">
        <f t="shared" si="7"/>
        <v>2.4999999999999996E-3</v>
      </c>
    </row>
    <row r="153" spans="1:4" ht="16">
      <c r="A153" s="46" t="str">
        <f>'Sovereign Ratings (Moody''s,S&amp;P)'!A153</f>
        <v>United States</v>
      </c>
      <c r="B153" s="56" t="str">
        <f>'Sovereign Ratings (Moody''s,S&amp;P)'!D153</f>
        <v>Aa1</v>
      </c>
      <c r="C153" s="118">
        <f t="shared" si="6"/>
        <v>5.7000000000000002E-3</v>
      </c>
      <c r="D153" s="57">
        <f t="shared" si="7"/>
        <v>4.0000000000000001E-3</v>
      </c>
    </row>
    <row r="154" spans="1:4" ht="16">
      <c r="A154" s="46" t="str">
        <f>'Sovereign Ratings (Moody''s,S&amp;P)'!A154</f>
        <v>Uruguay</v>
      </c>
      <c r="B154" s="56" t="str">
        <f>'Sovereign Ratings (Moody''s,S&amp;P)'!D154</f>
        <v>Baa1</v>
      </c>
      <c r="C154" s="118">
        <f t="shared" si="6"/>
        <v>1.03E-2</v>
      </c>
      <c r="D154" s="57">
        <f t="shared" si="7"/>
        <v>8.6E-3</v>
      </c>
    </row>
    <row r="155" spans="1:4" ht="16">
      <c r="A155" s="46" t="str">
        <f>'Sovereign Ratings (Moody''s,S&amp;P)'!A155</f>
        <v>Uzbekistan</v>
      </c>
      <c r="B155" s="56" t="str">
        <f>'Sovereign Ratings (Moody''s,S&amp;P)'!D155</f>
        <v>Ba3</v>
      </c>
      <c r="C155" s="118" t="e">
        <f t="shared" si="6"/>
        <v>#N/A</v>
      </c>
      <c r="D155" s="57" t="e">
        <f t="shared" si="7"/>
        <v>#N/A</v>
      </c>
    </row>
    <row r="156" spans="1:4" ht="16">
      <c r="A156" s="46" t="str">
        <f>'Sovereign Ratings (Moody''s,S&amp;P)'!A156</f>
        <v>Venezuela</v>
      </c>
      <c r="B156" s="56" t="str">
        <f>'Sovereign Ratings (Moody''s,S&amp;P)'!D156</f>
        <v>C</v>
      </c>
      <c r="C156" s="118" t="str">
        <f t="shared" si="6"/>
        <v>NA</v>
      </c>
      <c r="D156" s="57" t="str">
        <f t="shared" si="7"/>
        <v>NA</v>
      </c>
    </row>
    <row r="157" spans="1:4" ht="16">
      <c r="A157" s="46" t="str">
        <f>'Sovereign Ratings (Moody''s,S&amp;P)'!A157</f>
        <v>Vietnam</v>
      </c>
      <c r="B157" s="56" t="str">
        <f>'Sovereign Ratings (Moody''s,S&amp;P)'!D157</f>
        <v>Ba2</v>
      </c>
      <c r="C157" s="118">
        <f t="shared" si="6"/>
        <v>1.5900000000000001E-2</v>
      </c>
      <c r="D157" s="57">
        <f t="shared" si="7"/>
        <v>1.4200000000000001E-2</v>
      </c>
    </row>
    <row r="158" spans="1:4" ht="16">
      <c r="A158" s="46" t="str">
        <f>'Sovereign Ratings (Moody''s,S&amp;P)'!A158</f>
        <v>Zambia</v>
      </c>
      <c r="B158" s="56" t="str">
        <f>'Sovereign Ratings (Moody''s,S&amp;P)'!D158</f>
        <v>Caa2</v>
      </c>
      <c r="C158" s="118">
        <f t="shared" si="6"/>
        <v>5.1299999999999998E-2</v>
      </c>
      <c r="D158" s="57">
        <f t="shared" si="7"/>
        <v>4.9599999999999998E-2</v>
      </c>
    </row>
  </sheetData>
  <pageMargins left="0.75" right="0.75" top="1" bottom="1" header="0.5" footer="0.5"/>
  <pageSetup orientation="portrait" horizontalDpi="4294967292" verticalDpi="429496729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66"/>
  <sheetViews>
    <sheetView topLeftCell="A152" workbookViewId="0">
      <selection activeCell="F177" sqref="F177"/>
    </sheetView>
  </sheetViews>
  <sheetFormatPr baseColWidth="10" defaultRowHeight="16"/>
  <cols>
    <col min="1" max="1" width="26.5" style="20" bestFit="1" customWidth="1"/>
    <col min="2" max="2" width="26.5" style="226" customWidth="1"/>
    <col min="3" max="3" width="7.5" customWidth="1"/>
    <col min="4" max="4" width="11" bestFit="1" customWidth="1"/>
    <col min="5" max="5" width="23.33203125" customWidth="1"/>
    <col min="6" max="6" width="28" customWidth="1"/>
    <col min="10" max="10" width="26.5" style="20" bestFit="1" customWidth="1"/>
    <col min="11" max="11" width="26.5" style="176" customWidth="1"/>
    <col min="14" max="14" width="26.5" style="176" customWidth="1"/>
  </cols>
  <sheetData>
    <row r="1" spans="1:14" s="1" customFormat="1" ht="17">
      <c r="A1" s="49" t="s">
        <v>75</v>
      </c>
      <c r="B1" s="224" t="s">
        <v>610</v>
      </c>
      <c r="E1" s="25" t="s">
        <v>502</v>
      </c>
      <c r="F1" s="25" t="s">
        <v>562</v>
      </c>
      <c r="G1"/>
      <c r="H1"/>
      <c r="J1" s="49" t="s">
        <v>75</v>
      </c>
      <c r="K1" s="174" t="s">
        <v>513</v>
      </c>
      <c r="N1" s="174" t="s">
        <v>535</v>
      </c>
    </row>
    <row r="2" spans="1:14">
      <c r="A2" s="50" t="s">
        <v>268</v>
      </c>
      <c r="B2" s="225">
        <f>N2</f>
        <v>310000</v>
      </c>
      <c r="E2" t="s">
        <v>370</v>
      </c>
      <c r="F2" s="188">
        <v>17152.234636871508</v>
      </c>
      <c r="J2" s="50" t="s">
        <v>268</v>
      </c>
      <c r="K2" s="175">
        <v>299500</v>
      </c>
      <c r="N2" s="175">
        <v>310000</v>
      </c>
    </row>
    <row r="3" spans="1:14">
      <c r="A3" s="50" t="s">
        <v>4</v>
      </c>
      <c r="B3" s="225">
        <f>VLOOKUP(A3,$E$2:$F$266,2,FALSE)</f>
        <v>27046.429296667295</v>
      </c>
      <c r="C3" s="32" t="s">
        <v>251</v>
      </c>
      <c r="D3" s="99" t="s">
        <v>252</v>
      </c>
      <c r="E3" t="s">
        <v>563</v>
      </c>
      <c r="F3" s="188">
        <v>1242693.5429298501</v>
      </c>
      <c r="J3" s="50" t="s">
        <v>4</v>
      </c>
      <c r="K3" s="175">
        <f>VLOOKUP(J3,$E$2:$F$214,2,FALSE)</f>
        <v>27046.429296667295</v>
      </c>
      <c r="N3" s="175">
        <v>27046.429296667295</v>
      </c>
    </row>
    <row r="4" spans="1:14">
      <c r="A4" s="50" t="s">
        <v>281</v>
      </c>
      <c r="B4" s="225">
        <f>F8</f>
        <v>4039.8424054811721</v>
      </c>
      <c r="C4" s="32" t="s">
        <v>289</v>
      </c>
      <c r="D4" s="32">
        <v>2024</v>
      </c>
      <c r="E4" t="s">
        <v>564</v>
      </c>
      <c r="F4" s="188">
        <v>736384.96106152318</v>
      </c>
      <c r="J4" s="50" t="s">
        <v>281</v>
      </c>
      <c r="K4" s="175">
        <v>3330</v>
      </c>
      <c r="N4" s="175">
        <v>3352</v>
      </c>
    </row>
    <row r="5" spans="1:14">
      <c r="A5" s="50" t="s">
        <v>131</v>
      </c>
      <c r="B5" s="225">
        <f t="shared" ref="B5:B67" si="0">VLOOKUP(A5,$E$2:$F$266,2,FALSE)</f>
        <v>100998.91678107891</v>
      </c>
      <c r="E5" t="s">
        <v>4</v>
      </c>
      <c r="F5" s="188">
        <v>27046.429296667295</v>
      </c>
      <c r="J5" s="50" t="s">
        <v>131</v>
      </c>
      <c r="K5" s="175">
        <f t="shared" ref="K5:K11" si="1">VLOOKUP(J5,$E$2:$F$214,2,FALSE)</f>
        <v>100998.91678107891</v>
      </c>
      <c r="N5" s="175">
        <v>100998.91678107891</v>
      </c>
    </row>
    <row r="6" spans="1:14">
      <c r="A6" s="50" t="s">
        <v>84</v>
      </c>
      <c r="B6" s="225">
        <f t="shared" si="0"/>
        <v>638365.45534004038</v>
      </c>
      <c r="E6" t="s">
        <v>329</v>
      </c>
      <c r="F6" s="188">
        <v>269322.28166477312</v>
      </c>
      <c r="J6" s="50" t="s">
        <v>84</v>
      </c>
      <c r="K6" s="175">
        <f t="shared" si="1"/>
        <v>638365.45534004038</v>
      </c>
      <c r="N6" s="175">
        <v>638365.45534004038</v>
      </c>
    </row>
    <row r="7" spans="1:14">
      <c r="A7" s="50" t="s">
        <v>19</v>
      </c>
      <c r="B7" s="225">
        <f t="shared" si="0"/>
        <v>25955.275380032082</v>
      </c>
      <c r="E7" t="s">
        <v>425</v>
      </c>
      <c r="F7" s="188">
        <v>871</v>
      </c>
      <c r="J7" s="50" t="s">
        <v>19</v>
      </c>
      <c r="K7" s="175">
        <f t="shared" si="1"/>
        <v>25955.275380032082</v>
      </c>
      <c r="N7" s="175">
        <v>25955.275380032082</v>
      </c>
    </row>
    <row r="8" spans="1:14">
      <c r="A8" s="50" t="s">
        <v>198</v>
      </c>
      <c r="B8" s="225">
        <f t="shared" si="0"/>
        <v>4265.6506730023575</v>
      </c>
      <c r="E8" t="s">
        <v>194</v>
      </c>
      <c r="F8" s="188">
        <v>4039.8424054811721</v>
      </c>
      <c r="J8" s="50" t="s">
        <v>198</v>
      </c>
      <c r="K8" s="175">
        <f t="shared" si="1"/>
        <v>4265.6506730023575</v>
      </c>
      <c r="N8" s="175">
        <v>4265.6506730023575</v>
      </c>
    </row>
    <row r="9" spans="1:14">
      <c r="A9" s="50" t="s">
        <v>85</v>
      </c>
      <c r="B9" s="225">
        <f t="shared" si="0"/>
        <v>1757022.4516528314</v>
      </c>
      <c r="E9" t="s">
        <v>131</v>
      </c>
      <c r="F9" s="188">
        <v>100998.91678107891</v>
      </c>
      <c r="J9" s="50" t="s">
        <v>85</v>
      </c>
      <c r="K9" s="175">
        <f t="shared" si="1"/>
        <v>1757022.4516528314</v>
      </c>
      <c r="N9" s="175">
        <v>1757022.4516528314</v>
      </c>
    </row>
    <row r="10" spans="1:14">
      <c r="A10" s="50" t="s">
        <v>173</v>
      </c>
      <c r="B10" s="225">
        <f t="shared" si="0"/>
        <v>534790.7204668218</v>
      </c>
      <c r="E10" t="s">
        <v>390</v>
      </c>
      <c r="F10" s="188">
        <v>2207.6228740740739</v>
      </c>
      <c r="J10" s="50" t="s">
        <v>173</v>
      </c>
      <c r="K10" s="175">
        <f t="shared" si="1"/>
        <v>534790.7204668218</v>
      </c>
      <c r="N10" s="175">
        <v>534790.7204668218</v>
      </c>
    </row>
    <row r="11" spans="1:14">
      <c r="A11" s="50" t="s">
        <v>20</v>
      </c>
      <c r="B11" s="225">
        <f t="shared" si="0"/>
        <v>74315.882352941175</v>
      </c>
      <c r="E11" t="s">
        <v>565</v>
      </c>
      <c r="F11" s="188">
        <v>3735881.442514345</v>
      </c>
      <c r="J11" s="50" t="s">
        <v>20</v>
      </c>
      <c r="K11" s="175">
        <f t="shared" si="1"/>
        <v>74315.882352941175</v>
      </c>
      <c r="N11" s="175">
        <v>74315.882352941175</v>
      </c>
    </row>
    <row r="12" spans="1:14">
      <c r="A12" s="50" t="s">
        <v>86</v>
      </c>
      <c r="B12" s="225">
        <f>F18</f>
        <v>15832.8</v>
      </c>
      <c r="E12" t="s">
        <v>84</v>
      </c>
      <c r="F12" s="188">
        <v>638365.45534004038</v>
      </c>
      <c r="J12" s="50" t="s">
        <v>86</v>
      </c>
      <c r="K12" s="175">
        <v>11210</v>
      </c>
      <c r="N12" s="175">
        <v>11210</v>
      </c>
    </row>
    <row r="13" spans="1:14">
      <c r="A13" s="50" t="s">
        <v>87</v>
      </c>
      <c r="B13" s="225">
        <f t="shared" si="0"/>
        <v>47109.734308510633</v>
      </c>
      <c r="E13" t="s">
        <v>19</v>
      </c>
      <c r="F13" s="188">
        <v>25955.275380032082</v>
      </c>
      <c r="J13" s="50" t="s">
        <v>87</v>
      </c>
      <c r="K13" s="175">
        <f t="shared" ref="K13:K29" si="2">VLOOKUP(J13,$E$2:$F$214,2,FALSE)</f>
        <v>47109.734308510633</v>
      </c>
      <c r="N13" s="175">
        <v>47109.734308510633</v>
      </c>
    </row>
    <row r="14" spans="1:14">
      <c r="A14" s="50" t="s">
        <v>132</v>
      </c>
      <c r="B14" s="225">
        <f t="shared" si="0"/>
        <v>450119.43206885224</v>
      </c>
      <c r="E14" t="s">
        <v>198</v>
      </c>
      <c r="F14" s="188">
        <v>4265.6506730023575</v>
      </c>
      <c r="J14" s="50" t="s">
        <v>132</v>
      </c>
      <c r="K14" s="175">
        <f t="shared" si="2"/>
        <v>450119.43206885224</v>
      </c>
      <c r="N14" s="175">
        <v>450119.43206885224</v>
      </c>
    </row>
    <row r="15" spans="1:14">
      <c r="A15" s="50" t="s">
        <v>88</v>
      </c>
      <c r="B15" s="225">
        <f t="shared" si="0"/>
        <v>7498.05</v>
      </c>
      <c r="E15" t="s">
        <v>85</v>
      </c>
      <c r="F15" s="188">
        <v>1757022.4516528314</v>
      </c>
      <c r="J15" s="50" t="s">
        <v>88</v>
      </c>
      <c r="K15" s="175">
        <f t="shared" si="2"/>
        <v>7498.05</v>
      </c>
      <c r="N15" s="175">
        <v>7498.05</v>
      </c>
    </row>
    <row r="16" spans="1:14">
      <c r="A16" s="50" t="s">
        <v>5</v>
      </c>
      <c r="B16" s="225">
        <f t="shared" si="0"/>
        <v>75961.865471912926</v>
      </c>
      <c r="E16" t="s">
        <v>173</v>
      </c>
      <c r="F16" s="188">
        <v>534790.7204668218</v>
      </c>
      <c r="J16" s="50" t="s">
        <v>5</v>
      </c>
      <c r="K16" s="175">
        <f t="shared" si="2"/>
        <v>75961.865471912926</v>
      </c>
      <c r="N16" s="175">
        <v>75961.865471912926</v>
      </c>
    </row>
    <row r="17" spans="1:14">
      <c r="A17" s="50" t="s">
        <v>174</v>
      </c>
      <c r="B17" s="225">
        <f t="shared" si="0"/>
        <v>671370.08163640613</v>
      </c>
      <c r="E17" t="s">
        <v>20</v>
      </c>
      <c r="F17" s="188">
        <v>74315.882352941175</v>
      </c>
      <c r="J17" s="50" t="s">
        <v>174</v>
      </c>
      <c r="K17" s="175">
        <f t="shared" si="2"/>
        <v>671370.08163640613</v>
      </c>
      <c r="N17" s="175">
        <v>671370.08163640613</v>
      </c>
    </row>
    <row r="18" spans="1:14">
      <c r="A18" s="50" t="s">
        <v>89</v>
      </c>
      <c r="B18" s="225">
        <f t="shared" si="0"/>
        <v>3203.6318000000001</v>
      </c>
      <c r="E18" t="s">
        <v>480</v>
      </c>
      <c r="F18" s="188">
        <v>15832.8</v>
      </c>
      <c r="J18" s="50" t="s">
        <v>89</v>
      </c>
      <c r="K18" s="175">
        <f t="shared" si="2"/>
        <v>3203.6318000000001</v>
      </c>
      <c r="N18" s="175">
        <v>3203.6318000000001</v>
      </c>
    </row>
    <row r="19" spans="1:14">
      <c r="A19" s="50" t="s">
        <v>205</v>
      </c>
      <c r="B19" s="225">
        <f t="shared" si="0"/>
        <v>21482.643706424849</v>
      </c>
      <c r="E19" t="s">
        <v>87</v>
      </c>
      <c r="F19" s="188">
        <v>47109.734308510633</v>
      </c>
      <c r="J19" s="50" t="s">
        <v>205</v>
      </c>
      <c r="K19" s="175">
        <f t="shared" si="2"/>
        <v>21482.643706424849</v>
      </c>
      <c r="N19" s="175">
        <v>21482.643706424849</v>
      </c>
    </row>
    <row r="20" spans="1:14">
      <c r="A20" s="50" t="s">
        <v>90</v>
      </c>
      <c r="B20" s="225">
        <f t="shared" si="0"/>
        <v>9233.6</v>
      </c>
      <c r="E20" t="s">
        <v>132</v>
      </c>
      <c r="F20" s="188">
        <v>450119.43206885224</v>
      </c>
      <c r="J20" s="50" t="s">
        <v>90</v>
      </c>
      <c r="K20" s="175">
        <f t="shared" si="2"/>
        <v>9233.6</v>
      </c>
      <c r="N20" s="175">
        <v>9233.6</v>
      </c>
    </row>
    <row r="21" spans="1:14">
      <c r="A21" s="50" t="s">
        <v>91</v>
      </c>
      <c r="B21" s="225">
        <f t="shared" si="0"/>
        <v>54881.327452966711</v>
      </c>
      <c r="E21" t="s">
        <v>88</v>
      </c>
      <c r="F21" s="188">
        <v>7498.05</v>
      </c>
      <c r="J21" s="50" t="s">
        <v>91</v>
      </c>
      <c r="K21" s="175">
        <f t="shared" si="2"/>
        <v>54881.327452966711</v>
      </c>
      <c r="N21" s="175">
        <v>54881.327452966711</v>
      </c>
    </row>
    <row r="22" spans="1:14">
      <c r="A22" s="50" t="s">
        <v>7</v>
      </c>
      <c r="B22" s="225">
        <f t="shared" si="0"/>
        <v>29613.57202289933</v>
      </c>
      <c r="E22" t="s">
        <v>5</v>
      </c>
      <c r="F22" s="188">
        <v>75961.865471912926</v>
      </c>
      <c r="J22" s="50" t="s">
        <v>7</v>
      </c>
      <c r="K22" s="175">
        <f t="shared" si="2"/>
        <v>29613.57202289933</v>
      </c>
      <c r="N22" s="175">
        <v>29613.57202289933</v>
      </c>
    </row>
    <row r="23" spans="1:14">
      <c r="A23" s="50" t="s">
        <v>123</v>
      </c>
      <c r="B23" s="225">
        <f t="shared" si="0"/>
        <v>19402.06351290664</v>
      </c>
      <c r="E23" t="s">
        <v>174</v>
      </c>
      <c r="F23" s="188">
        <v>671370.08163640613</v>
      </c>
      <c r="J23" s="50" t="s">
        <v>123</v>
      </c>
      <c r="K23" s="175">
        <f t="shared" si="2"/>
        <v>19402.06351290664</v>
      </c>
      <c r="N23" s="175">
        <v>19402.06351290664</v>
      </c>
    </row>
    <row r="24" spans="1:14">
      <c r="A24" s="50" t="s">
        <v>92</v>
      </c>
      <c r="B24" s="225">
        <f t="shared" si="0"/>
        <v>2185821.6489438605</v>
      </c>
      <c r="E24" t="s">
        <v>89</v>
      </c>
      <c r="F24" s="188">
        <v>3203.6318000000001</v>
      </c>
      <c r="J24" s="50" t="s">
        <v>92</v>
      </c>
      <c r="K24" s="175">
        <f t="shared" si="2"/>
        <v>2185821.6489438605</v>
      </c>
      <c r="N24" s="175">
        <v>2185821.6489438605</v>
      </c>
    </row>
    <row r="25" spans="1:14">
      <c r="A25" s="50" t="s">
        <v>94</v>
      </c>
      <c r="B25" s="225">
        <f t="shared" si="0"/>
        <v>113343.3557799852</v>
      </c>
      <c r="E25" t="s">
        <v>205</v>
      </c>
      <c r="F25" s="188">
        <v>21482.643706424849</v>
      </c>
      <c r="J25" s="50" t="s">
        <v>94</v>
      </c>
      <c r="K25" s="175">
        <f t="shared" si="2"/>
        <v>113343.3557799852</v>
      </c>
      <c r="N25" s="175">
        <v>113343.3557799852</v>
      </c>
    </row>
    <row r="26" spans="1:14">
      <c r="A26" s="50" t="s">
        <v>208</v>
      </c>
      <c r="B26" s="225">
        <f t="shared" si="0"/>
        <v>23124.729853021799</v>
      </c>
      <c r="E26" t="s">
        <v>90</v>
      </c>
      <c r="F26" s="188">
        <v>9233.6</v>
      </c>
      <c r="J26" s="50" t="s">
        <v>208</v>
      </c>
      <c r="K26" s="175">
        <f t="shared" si="2"/>
        <v>23124.729853021799</v>
      </c>
      <c r="N26" s="175">
        <v>23124.729853021799</v>
      </c>
    </row>
    <row r="27" spans="1:14">
      <c r="A27" s="50" t="s">
        <v>6</v>
      </c>
      <c r="B27" s="225">
        <f t="shared" si="0"/>
        <v>46352.64703724056</v>
      </c>
      <c r="E27" t="s">
        <v>384</v>
      </c>
      <c r="F27" s="188">
        <v>3012.8967892492788</v>
      </c>
      <c r="J27" s="50" t="s">
        <v>6</v>
      </c>
      <c r="K27" s="175">
        <f t="shared" si="2"/>
        <v>46352.64703724056</v>
      </c>
      <c r="N27" s="175">
        <v>46352.64703724056</v>
      </c>
    </row>
    <row r="28" spans="1:14">
      <c r="A28" s="50" t="s">
        <v>209</v>
      </c>
      <c r="B28" s="225">
        <f t="shared" si="0"/>
        <v>53296.69432020565</v>
      </c>
      <c r="E28" t="s">
        <v>91</v>
      </c>
      <c r="F28" s="188">
        <v>54881.327452966711</v>
      </c>
      <c r="J28" s="50" t="s">
        <v>209</v>
      </c>
      <c r="K28" s="175">
        <f t="shared" si="2"/>
        <v>53296.69432020565</v>
      </c>
      <c r="N28" s="175">
        <v>53296.69432020565</v>
      </c>
    </row>
    <row r="29" spans="1:14">
      <c r="A29" s="50" t="s">
        <v>95</v>
      </c>
      <c r="B29" s="225">
        <f t="shared" si="0"/>
        <v>2243636.8266337616</v>
      </c>
      <c r="E29" t="s">
        <v>7</v>
      </c>
      <c r="F29" s="188">
        <v>29613.57202289933</v>
      </c>
      <c r="J29" s="50" t="s">
        <v>95</v>
      </c>
      <c r="K29" s="175">
        <f t="shared" si="2"/>
        <v>2243636.8266337616</v>
      </c>
      <c r="N29" s="175">
        <v>2243636.8266337616</v>
      </c>
    </row>
    <row r="30" spans="1:14">
      <c r="A30" s="50" t="s">
        <v>210</v>
      </c>
      <c r="B30" s="225">
        <f>F37</f>
        <v>2725.4141507273494</v>
      </c>
      <c r="E30" t="s">
        <v>123</v>
      </c>
      <c r="F30" s="188">
        <v>19402.06351290664</v>
      </c>
      <c r="J30" s="50" t="s">
        <v>210</v>
      </c>
      <c r="K30" s="175">
        <v>1936</v>
      </c>
      <c r="N30" s="175">
        <v>1936</v>
      </c>
    </row>
    <row r="31" spans="1:14">
      <c r="A31" s="50" t="s">
        <v>55</v>
      </c>
      <c r="B31" s="225">
        <f t="shared" si="0"/>
        <v>7241.2442694597212</v>
      </c>
      <c r="E31" t="s">
        <v>92</v>
      </c>
      <c r="F31" s="188">
        <v>2185821.6489438605</v>
      </c>
      <c r="J31" s="50" t="s">
        <v>55</v>
      </c>
      <c r="K31" s="175">
        <f>VLOOKUP(J31,$E$2:$F$214,2,FALSE)</f>
        <v>7241.2442694597212</v>
      </c>
      <c r="N31" s="175">
        <v>7241.2442694597212</v>
      </c>
    </row>
    <row r="32" spans="1:14">
      <c r="A32" s="50" t="s">
        <v>96</v>
      </c>
      <c r="B32" s="225">
        <f t="shared" si="0"/>
        <v>330267.13737159228</v>
      </c>
      <c r="E32" t="s">
        <v>512</v>
      </c>
      <c r="F32" s="188">
        <v>0</v>
      </c>
      <c r="J32" s="50" t="s">
        <v>96</v>
      </c>
      <c r="K32" s="175">
        <f>VLOOKUP(J32,$E$2:$F$214,2,FALSE)</f>
        <v>330267.13737159228</v>
      </c>
      <c r="N32" s="175">
        <v>330267.13737159228</v>
      </c>
    </row>
    <row r="33" spans="1:14">
      <c r="A33" s="50" t="s">
        <v>97</v>
      </c>
      <c r="B33" s="225">
        <f t="shared" si="0"/>
        <v>18743803.170827165</v>
      </c>
      <c r="E33" t="s">
        <v>371</v>
      </c>
      <c r="F33" s="188">
        <v>15340.808592479976</v>
      </c>
      <c r="J33" s="50" t="s">
        <v>97</v>
      </c>
      <c r="K33" s="175">
        <f>VLOOKUP(J33,$E$2:$F$214,2,FALSE)</f>
        <v>18743803.170827165</v>
      </c>
      <c r="N33" s="175">
        <v>18743803.170827165</v>
      </c>
    </row>
    <row r="34" spans="1:14">
      <c r="A34" s="50" t="s">
        <v>50</v>
      </c>
      <c r="B34" s="225">
        <f t="shared" si="0"/>
        <v>418818.15487927111</v>
      </c>
      <c r="E34" t="s">
        <v>94</v>
      </c>
      <c r="F34" s="188">
        <v>113343.3557799852</v>
      </c>
      <c r="J34" s="50" t="s">
        <v>50</v>
      </c>
      <c r="K34" s="175">
        <f>VLOOKUP(J34,$E$2:$F$214,2,FALSE)</f>
        <v>418818.15487927111</v>
      </c>
      <c r="N34" s="175">
        <v>418818.15487927111</v>
      </c>
    </row>
    <row r="35" spans="1:14">
      <c r="A35" s="50" t="s">
        <v>282</v>
      </c>
      <c r="B35" s="225">
        <f>F51</f>
        <v>70962.185790709351</v>
      </c>
      <c r="E35" t="s">
        <v>208</v>
      </c>
      <c r="F35" s="188">
        <v>23124.729853021799</v>
      </c>
      <c r="J35" s="50" t="s">
        <v>282</v>
      </c>
      <c r="K35" s="175">
        <f>O51</f>
        <v>0</v>
      </c>
      <c r="N35" s="175">
        <v>12507.320838393167</v>
      </c>
    </row>
    <row r="36" spans="1:14">
      <c r="A36" s="50" t="s">
        <v>283</v>
      </c>
      <c r="B36" s="225">
        <f>F52</f>
        <v>15719.986076646381</v>
      </c>
      <c r="E36" t="s">
        <v>380</v>
      </c>
      <c r="F36" s="188">
        <v>3082.4330673263362</v>
      </c>
      <c r="J36" s="50" t="s">
        <v>283</v>
      </c>
      <c r="K36" s="175">
        <v>14616</v>
      </c>
      <c r="N36" s="175">
        <v>330267.13737159228</v>
      </c>
    </row>
    <row r="37" spans="1:14">
      <c r="A37" s="50" t="s">
        <v>211</v>
      </c>
      <c r="B37" s="225">
        <f>N37</f>
        <v>1414</v>
      </c>
      <c r="E37" t="s">
        <v>481</v>
      </c>
      <c r="F37" s="188">
        <v>2725.4141507273494</v>
      </c>
      <c r="J37" s="50" t="s">
        <v>211</v>
      </c>
      <c r="K37" s="175">
        <v>1414</v>
      </c>
      <c r="N37" s="175">
        <v>1414</v>
      </c>
    </row>
    <row r="38" spans="1:14">
      <c r="A38" s="50" t="s">
        <v>56</v>
      </c>
      <c r="B38" s="225">
        <f t="shared" si="0"/>
        <v>95350.423176596218</v>
      </c>
      <c r="E38" t="s">
        <v>6</v>
      </c>
      <c r="F38" s="188">
        <v>46352.64703724056</v>
      </c>
      <c r="J38" s="50" t="s">
        <v>56</v>
      </c>
      <c r="K38" s="175">
        <f>VLOOKUP(J38,$E$2:$F$214,2,FALSE)</f>
        <v>95350.423176596218</v>
      </c>
      <c r="N38" s="175">
        <v>95350.423176596218</v>
      </c>
    </row>
    <row r="39" spans="1:14">
      <c r="A39" s="50" t="s">
        <v>278</v>
      </c>
      <c r="B39" s="225">
        <f>F54</f>
        <v>87113.179149284013</v>
      </c>
      <c r="E39" t="s">
        <v>209</v>
      </c>
      <c r="F39" s="188">
        <v>53296.69432020565</v>
      </c>
      <c r="J39" s="50" t="s">
        <v>278</v>
      </c>
      <c r="K39" s="175">
        <v>70019</v>
      </c>
      <c r="N39" s="175">
        <v>418818.15487927111</v>
      </c>
    </row>
    <row r="40" spans="1:14">
      <c r="A40" s="50" t="s">
        <v>98</v>
      </c>
      <c r="B40" s="225">
        <f t="shared" si="0"/>
        <v>92983.810328908847</v>
      </c>
      <c r="E40" t="s">
        <v>95</v>
      </c>
      <c r="F40" s="188">
        <v>2243636.8266337616</v>
      </c>
      <c r="J40" s="50" t="s">
        <v>98</v>
      </c>
      <c r="K40" s="175">
        <f>VLOOKUP(J40,$E$2:$F$214,2,FALSE)</f>
        <v>92983.810328908847</v>
      </c>
      <c r="N40" s="175">
        <v>92983.810328908847</v>
      </c>
    </row>
    <row r="41" spans="1:14">
      <c r="A41" s="50" t="s">
        <v>99</v>
      </c>
      <c r="B41" s="225">
        <f t="shared" si="0"/>
        <v>107352</v>
      </c>
      <c r="E41" t="s">
        <v>566</v>
      </c>
      <c r="F41" s="188">
        <v>90344.593407048727</v>
      </c>
      <c r="J41" s="50" t="s">
        <v>99</v>
      </c>
      <c r="K41" s="175">
        <f>VLOOKUP(J41,$E$2:$F$214,2,FALSE)</f>
        <v>107352</v>
      </c>
      <c r="N41" s="175">
        <v>107351</v>
      </c>
    </row>
    <row r="42" spans="1:14">
      <c r="A42" s="50" t="s">
        <v>214</v>
      </c>
      <c r="B42" s="225">
        <f t="shared" si="0"/>
        <v>3561.1781962071341</v>
      </c>
      <c r="E42" t="s">
        <v>55</v>
      </c>
      <c r="F42" s="188">
        <v>7241.2442694597212</v>
      </c>
      <c r="J42" s="50" t="s">
        <v>214</v>
      </c>
      <c r="K42" s="175">
        <f>VLOOKUP(J42,$E$2:$F$214,2,FALSE)</f>
        <v>3561.1781962071341</v>
      </c>
      <c r="N42" s="175">
        <v>3561.1781962071341</v>
      </c>
    </row>
    <row r="43" spans="1:14">
      <c r="A43" s="50" t="s">
        <v>175</v>
      </c>
      <c r="B43" s="225">
        <f t="shared" si="0"/>
        <v>37634.533331890161</v>
      </c>
      <c r="E43" t="s">
        <v>386</v>
      </c>
      <c r="F43" s="188">
        <v>2751.4942810688704</v>
      </c>
      <c r="J43" s="50" t="s">
        <v>175</v>
      </c>
      <c r="K43" s="175">
        <f>VLOOKUP(J43,$E$2:$F$214,2,FALSE)</f>
        <v>37634.533331890161</v>
      </c>
      <c r="N43" s="175">
        <v>37634.533331890161</v>
      </c>
    </row>
    <row r="44" spans="1:14">
      <c r="A44" s="50" t="s">
        <v>101</v>
      </c>
      <c r="B44" s="225">
        <f>F59</f>
        <v>347034.06292847905</v>
      </c>
      <c r="E44" t="s">
        <v>567</v>
      </c>
      <c r="F44" s="188">
        <v>2462005.273603478</v>
      </c>
      <c r="J44" s="50" t="s">
        <v>101</v>
      </c>
      <c r="K44" s="175">
        <f>O59</f>
        <v>0</v>
      </c>
      <c r="N44" s="175">
        <v>87113.179149284013</v>
      </c>
    </row>
    <row r="45" spans="1:14">
      <c r="A45" s="50" t="s">
        <v>102</v>
      </c>
      <c r="B45" s="225">
        <f t="shared" si="0"/>
        <v>424524.72203704697</v>
      </c>
      <c r="E45" t="s">
        <v>374</v>
      </c>
      <c r="F45" s="188">
        <v>19518.819751283037</v>
      </c>
      <c r="J45" s="50" t="s">
        <v>102</v>
      </c>
      <c r="K45" s="175">
        <f>VLOOKUP(J45,$E$2:$F$214,2,FALSE)</f>
        <v>424524.72203704697</v>
      </c>
      <c r="N45" s="175">
        <v>424524.72203704697</v>
      </c>
    </row>
    <row r="46" spans="1:14">
      <c r="A46" s="50" t="s">
        <v>103</v>
      </c>
      <c r="B46" s="225">
        <f t="shared" si="0"/>
        <v>124282.24563856845</v>
      </c>
      <c r="E46" t="s">
        <v>503</v>
      </c>
      <c r="F46" s="188">
        <v>12507.320838393167</v>
      </c>
      <c r="J46" s="50" t="s">
        <v>103</v>
      </c>
      <c r="K46" s="175">
        <f>VLOOKUP(J46,$E$2:$F$214,2,FALSE)</f>
        <v>124282.24563856845</v>
      </c>
      <c r="N46" s="175">
        <v>124282.24563856845</v>
      </c>
    </row>
    <row r="47" spans="1:14">
      <c r="A47" s="50" t="s">
        <v>104</v>
      </c>
      <c r="B47" s="225">
        <f t="shared" si="0"/>
        <v>124676.0747</v>
      </c>
      <c r="E47" t="s">
        <v>96</v>
      </c>
      <c r="F47" s="188">
        <v>330267.13737159228</v>
      </c>
      <c r="J47" s="50" t="s">
        <v>104</v>
      </c>
      <c r="K47" s="175">
        <f>VLOOKUP(J47,$E$2:$F$214,2,FALSE)</f>
        <v>124676.0747</v>
      </c>
      <c r="N47" s="175">
        <v>124676.0747</v>
      </c>
    </row>
    <row r="48" spans="1:14">
      <c r="A48" s="50" t="s">
        <v>105</v>
      </c>
      <c r="B48" s="225">
        <f>F69</f>
        <v>389059.91100356571</v>
      </c>
      <c r="E48" t="s">
        <v>97</v>
      </c>
      <c r="F48" s="188">
        <v>18743803.170827165</v>
      </c>
      <c r="J48" s="50" t="s">
        <v>105</v>
      </c>
      <c r="K48" s="175">
        <f>O69</f>
        <v>0</v>
      </c>
      <c r="N48" s="175">
        <v>424524.72203704697</v>
      </c>
    </row>
    <row r="49" spans="1:14">
      <c r="A49" s="50" t="s">
        <v>31</v>
      </c>
      <c r="B49" s="225">
        <f t="shared" si="0"/>
        <v>35364.959999999999</v>
      </c>
      <c r="E49" t="s">
        <v>50</v>
      </c>
      <c r="F49" s="188">
        <v>418818.15487927111</v>
      </c>
      <c r="J49" s="50" t="s">
        <v>31</v>
      </c>
      <c r="K49" s="175">
        <f t="shared" ref="K49:K60" si="3">VLOOKUP(J49,$E$2:$F$214,2,FALSE)</f>
        <v>35364.959999999999</v>
      </c>
      <c r="N49" s="175">
        <v>35364.959999999999</v>
      </c>
    </row>
    <row r="50" spans="1:14">
      <c r="A50" s="50" t="s">
        <v>106</v>
      </c>
      <c r="B50" s="225">
        <f t="shared" si="0"/>
        <v>43130.419829349994</v>
      </c>
      <c r="E50" t="s">
        <v>398</v>
      </c>
      <c r="F50" s="188">
        <v>1440.9914554518843</v>
      </c>
      <c r="J50" s="50" t="s">
        <v>106</v>
      </c>
      <c r="K50" s="175">
        <f t="shared" si="3"/>
        <v>43130.419829349994</v>
      </c>
      <c r="N50" s="175">
        <v>43130.419829349994</v>
      </c>
    </row>
    <row r="51" spans="1:14">
      <c r="A51" s="50" t="s">
        <v>279</v>
      </c>
      <c r="B51" s="225">
        <f t="shared" si="0"/>
        <v>149740.29795298603</v>
      </c>
      <c r="E51" t="s">
        <v>482</v>
      </c>
      <c r="F51" s="188">
        <v>70962.185790709351</v>
      </c>
      <c r="J51" s="50" t="s">
        <v>279</v>
      </c>
      <c r="K51" s="175">
        <f t="shared" si="3"/>
        <v>149740.29795298603</v>
      </c>
      <c r="N51" s="175">
        <v>149740.29795298603</v>
      </c>
    </row>
    <row r="52" spans="1:14">
      <c r="A52" s="50" t="s">
        <v>216</v>
      </c>
      <c r="B52" s="225">
        <f t="shared" si="0"/>
        <v>5968.1259092712598</v>
      </c>
      <c r="E52" t="s">
        <v>483</v>
      </c>
      <c r="F52" s="188">
        <v>15719.986076646381</v>
      </c>
      <c r="J52" s="50" t="s">
        <v>216</v>
      </c>
      <c r="K52" s="175">
        <f t="shared" si="3"/>
        <v>5968.1259092712598</v>
      </c>
      <c r="N52" s="175">
        <v>5968.1259092712598</v>
      </c>
    </row>
    <row r="53" spans="1:14">
      <c r="A53" s="50" t="s">
        <v>176</v>
      </c>
      <c r="B53" s="225">
        <f t="shared" si="0"/>
        <v>298696.96129765618</v>
      </c>
      <c r="E53" t="s">
        <v>56</v>
      </c>
      <c r="F53" s="188">
        <v>95350.423176596218</v>
      </c>
      <c r="J53" s="50" t="s">
        <v>176</v>
      </c>
      <c r="K53" s="175">
        <f t="shared" si="3"/>
        <v>298696.96129765618</v>
      </c>
      <c r="N53" s="175">
        <v>298696.96129765618</v>
      </c>
    </row>
    <row r="54" spans="1:14">
      <c r="A54" s="50" t="s">
        <v>177</v>
      </c>
      <c r="B54" s="225">
        <f t="shared" si="0"/>
        <v>3160442.6224650778</v>
      </c>
      <c r="E54" t="s">
        <v>358</v>
      </c>
      <c r="F54" s="188">
        <v>87113.179149284013</v>
      </c>
      <c r="J54" s="50" t="s">
        <v>177</v>
      </c>
      <c r="K54" s="175">
        <f t="shared" si="3"/>
        <v>3160442.6224650778</v>
      </c>
      <c r="N54" s="175">
        <v>3160442.6224650778</v>
      </c>
    </row>
    <row r="55" spans="1:14">
      <c r="A55" s="50" t="s">
        <v>217</v>
      </c>
      <c r="B55" s="225">
        <f t="shared" si="0"/>
        <v>20895.684425675219</v>
      </c>
      <c r="E55" t="s">
        <v>98</v>
      </c>
      <c r="F55" s="188">
        <v>92983.810328908847</v>
      </c>
      <c r="J55" s="50" t="s">
        <v>217</v>
      </c>
      <c r="K55" s="175">
        <f t="shared" si="3"/>
        <v>20895.684425675219</v>
      </c>
      <c r="N55" s="175">
        <v>20895.684425675219</v>
      </c>
    </row>
    <row r="56" spans="1:14">
      <c r="A56" s="50" t="s">
        <v>133</v>
      </c>
      <c r="B56" s="225">
        <f t="shared" si="0"/>
        <v>34189.42354499553</v>
      </c>
      <c r="E56" t="s">
        <v>99</v>
      </c>
      <c r="F56" s="188">
        <v>107352</v>
      </c>
      <c r="J56" s="50" t="s">
        <v>133</v>
      </c>
      <c r="K56" s="175">
        <f t="shared" si="3"/>
        <v>34189.42354499553</v>
      </c>
      <c r="N56" s="175">
        <v>34189.42354499553</v>
      </c>
    </row>
    <row r="57" spans="1:14">
      <c r="A57" s="50" t="s">
        <v>178</v>
      </c>
      <c r="B57" s="225">
        <f t="shared" si="0"/>
        <v>4685592.5778046865</v>
      </c>
      <c r="E57" t="s">
        <v>214</v>
      </c>
      <c r="F57" s="188">
        <v>3561.1781962071341</v>
      </c>
      <c r="J57" s="50" t="s">
        <v>178</v>
      </c>
      <c r="K57" s="175">
        <f t="shared" si="3"/>
        <v>4685592.5778046865</v>
      </c>
      <c r="N57" s="175">
        <v>4685592.5778046865</v>
      </c>
    </row>
    <row r="58" spans="1:14">
      <c r="A58" s="50" t="s">
        <v>218</v>
      </c>
      <c r="B58" s="225">
        <f t="shared" si="0"/>
        <v>82308.110386464061</v>
      </c>
      <c r="E58" t="s">
        <v>175</v>
      </c>
      <c r="F58" s="188">
        <v>37634.533331890161</v>
      </c>
      <c r="J58" s="50" t="s">
        <v>218</v>
      </c>
      <c r="K58" s="175">
        <f t="shared" si="3"/>
        <v>82308.110386464061</v>
      </c>
      <c r="N58" s="175">
        <v>82308.110386464061</v>
      </c>
    </row>
    <row r="59" spans="1:14">
      <c r="A59" s="50" t="s">
        <v>179</v>
      </c>
      <c r="B59" s="225">
        <f t="shared" si="0"/>
        <v>256238.37177811793</v>
      </c>
      <c r="E59" t="s">
        <v>504</v>
      </c>
      <c r="F59" s="188">
        <v>347034.06292847905</v>
      </c>
      <c r="J59" s="50" t="s">
        <v>179</v>
      </c>
      <c r="K59" s="175">
        <f t="shared" si="3"/>
        <v>256238.37177811793</v>
      </c>
      <c r="N59" s="175">
        <v>256238.37177811793</v>
      </c>
    </row>
    <row r="60" spans="1:14">
      <c r="A60" s="50" t="s">
        <v>107</v>
      </c>
      <c r="B60" s="225">
        <f t="shared" si="0"/>
        <v>113199.58115820274</v>
      </c>
      <c r="E60" t="s">
        <v>102</v>
      </c>
      <c r="F60" s="188">
        <v>424524.72203704697</v>
      </c>
      <c r="J60" s="50" t="s">
        <v>107</v>
      </c>
      <c r="K60" s="175">
        <f t="shared" si="3"/>
        <v>113199.58115820274</v>
      </c>
      <c r="N60" s="175">
        <v>113199.58115820274</v>
      </c>
    </row>
    <row r="61" spans="1:14">
      <c r="A61" s="50" t="s">
        <v>284</v>
      </c>
      <c r="B61" s="225">
        <f>N61</f>
        <v>3446</v>
      </c>
      <c r="E61" t="s">
        <v>385</v>
      </c>
      <c r="F61" s="188">
        <v>4152.1459399845826</v>
      </c>
      <c r="J61" s="50" t="s">
        <v>284</v>
      </c>
      <c r="K61" s="175">
        <v>3446</v>
      </c>
      <c r="N61" s="175">
        <v>3446</v>
      </c>
    </row>
    <row r="62" spans="1:14">
      <c r="A62" s="50" t="s">
        <v>108</v>
      </c>
      <c r="B62" s="225">
        <f t="shared" si="0"/>
        <v>37093.565854043678</v>
      </c>
      <c r="E62" t="s">
        <v>399</v>
      </c>
      <c r="F62" s="188">
        <v>688.88148148148139</v>
      </c>
      <c r="J62" s="50" t="s">
        <v>108</v>
      </c>
      <c r="K62" s="175">
        <f>VLOOKUP(J62,$E$2:$F$214,2,FALSE)</f>
        <v>37093.565854043678</v>
      </c>
      <c r="N62" s="175">
        <v>37093.565854043678</v>
      </c>
    </row>
    <row r="63" spans="1:14">
      <c r="A63" s="50" t="s">
        <v>59</v>
      </c>
      <c r="B63" s="225">
        <f>F105</f>
        <v>406863.39648734155</v>
      </c>
      <c r="E63" t="s">
        <v>103</v>
      </c>
      <c r="F63" s="188">
        <v>124282.24563856845</v>
      </c>
      <c r="J63" s="50" t="s">
        <v>59</v>
      </c>
      <c r="K63" s="175">
        <f>O105</f>
        <v>0</v>
      </c>
      <c r="N63" s="175">
        <v>2404.8887492190693</v>
      </c>
    </row>
    <row r="64" spans="1:14">
      <c r="A64" s="50" t="s">
        <v>109</v>
      </c>
      <c r="B64" s="225">
        <f t="shared" si="0"/>
        <v>222722.73892564097</v>
      </c>
      <c r="E64" t="s">
        <v>568</v>
      </c>
      <c r="F64" s="188">
        <v>15808304.487948131</v>
      </c>
      <c r="J64" s="50" t="s">
        <v>109</v>
      </c>
      <c r="K64" s="175">
        <f>VLOOKUP(J64,$E$2:$F$214,2,FALSE)</f>
        <v>222722.73892564097</v>
      </c>
      <c r="N64" s="175">
        <v>222722.73892564097</v>
      </c>
    </row>
    <row r="65" spans="1:14">
      <c r="A65" s="50" t="s">
        <v>110</v>
      </c>
      <c r="B65" s="225">
        <f t="shared" si="0"/>
        <v>33255.181468938186</v>
      </c>
      <c r="E65" t="s">
        <v>569</v>
      </c>
      <c r="F65" s="188">
        <v>32017179.839272998</v>
      </c>
      <c r="J65" s="50" t="s">
        <v>110</v>
      </c>
      <c r="K65" s="175">
        <f>VLOOKUP(J65,$E$2:$F$214,2,FALSE)</f>
        <v>33255.181468938186</v>
      </c>
      <c r="N65" s="175">
        <v>33255.181468938186</v>
      </c>
    </row>
    <row r="66" spans="1:14">
      <c r="A66" s="50" t="s">
        <v>111</v>
      </c>
      <c r="B66" s="225">
        <f t="shared" si="0"/>
        <v>3909891.5338580837</v>
      </c>
      <c r="E66" t="s">
        <v>570</v>
      </c>
      <c r="F66" s="188">
        <v>22260810.77187511</v>
      </c>
      <c r="J66" s="50" t="s">
        <v>111</v>
      </c>
      <c r="K66" s="175">
        <f t="shared" ref="K66:K124" si="4">VLOOKUP(J66,$E$2:$F$214,2,FALSE)</f>
        <v>3909891.5338580837</v>
      </c>
      <c r="N66" s="175">
        <v>3909891.5338580837</v>
      </c>
    </row>
    <row r="67" spans="1:14">
      <c r="A67" s="50" t="s">
        <v>112</v>
      </c>
      <c r="B67" s="225">
        <f t="shared" si="0"/>
        <v>1396300.0981909733</v>
      </c>
      <c r="E67" t="s">
        <v>571</v>
      </c>
      <c r="F67" s="188">
        <v>22233362.919728402</v>
      </c>
      <c r="J67" s="50" t="s">
        <v>112</v>
      </c>
      <c r="K67" s="175">
        <f t="shared" si="4"/>
        <v>1396300.0981909733</v>
      </c>
      <c r="N67" s="175">
        <v>1396300.0981909733</v>
      </c>
    </row>
    <row r="68" spans="1:14">
      <c r="A68" s="50" t="s">
        <v>323</v>
      </c>
      <c r="B68" s="225">
        <f t="shared" ref="B68:B131" si="5">VLOOKUP(A68,$E$2:$F$266,2,FALSE)</f>
        <v>279641.25761538465</v>
      </c>
      <c r="E68" t="s">
        <v>104</v>
      </c>
      <c r="F68" s="188">
        <v>124676.0747</v>
      </c>
      <c r="J68" s="50" t="s">
        <v>323</v>
      </c>
      <c r="K68" s="175">
        <f t="shared" si="4"/>
        <v>279641.25761538465</v>
      </c>
      <c r="N68" s="175">
        <v>279641.25761538465</v>
      </c>
    </row>
    <row r="69" spans="1:14">
      <c r="A69" s="50" t="s">
        <v>180</v>
      </c>
      <c r="B69" s="225">
        <f t="shared" si="5"/>
        <v>609157.45974720537</v>
      </c>
      <c r="E69" t="s">
        <v>484</v>
      </c>
      <c r="F69" s="188">
        <v>389059.91100356571</v>
      </c>
      <c r="J69" s="50" t="s">
        <v>180</v>
      </c>
      <c r="K69" s="175">
        <f t="shared" si="4"/>
        <v>609157.45974720537</v>
      </c>
      <c r="N69" s="175">
        <v>609157.45974720537</v>
      </c>
    </row>
    <row r="70" spans="1:14">
      <c r="A70" s="50" t="s">
        <v>113</v>
      </c>
      <c r="B70" s="225">
        <f t="shared" si="5"/>
        <v>7431.2574109271272</v>
      </c>
      <c r="E70" t="s">
        <v>31</v>
      </c>
      <c r="F70" s="188">
        <v>35364.959999999999</v>
      </c>
      <c r="J70" s="50" t="s">
        <v>113</v>
      </c>
      <c r="K70" s="175">
        <f t="shared" si="4"/>
        <v>7431.2574109271272</v>
      </c>
      <c r="N70" s="175">
        <v>7431.2574109271272</v>
      </c>
    </row>
    <row r="71" spans="1:14">
      <c r="A71" s="50" t="s">
        <v>114</v>
      </c>
      <c r="B71" s="225">
        <f t="shared" si="5"/>
        <v>540379.92126168101</v>
      </c>
      <c r="E71" t="s">
        <v>373</v>
      </c>
      <c r="F71" s="188">
        <v>12765.777677062155</v>
      </c>
      <c r="J71" s="50" t="s">
        <v>114</v>
      </c>
      <c r="K71" s="175">
        <f t="shared" si="4"/>
        <v>540379.92126168101</v>
      </c>
      <c r="N71" s="175">
        <v>540379.92126168101</v>
      </c>
    </row>
    <row r="72" spans="1:14">
      <c r="A72" s="50" t="s">
        <v>144</v>
      </c>
      <c r="B72" s="225">
        <f t="shared" si="5"/>
        <v>2380825.0772435931</v>
      </c>
      <c r="E72" t="s">
        <v>505</v>
      </c>
      <c r="F72" s="188">
        <v>0</v>
      </c>
      <c r="J72" s="50" t="s">
        <v>144</v>
      </c>
      <c r="K72" s="175">
        <f t="shared" si="4"/>
        <v>2380825.0772435931</v>
      </c>
      <c r="N72" s="175">
        <v>2380825.0772435931</v>
      </c>
    </row>
    <row r="73" spans="1:14">
      <c r="A73" s="50" t="s">
        <v>115</v>
      </c>
      <c r="B73" s="225">
        <f t="shared" si="5"/>
        <v>22014.39708976886</v>
      </c>
      <c r="E73" t="s">
        <v>106</v>
      </c>
      <c r="F73" s="188">
        <v>43130.419829349994</v>
      </c>
      <c r="J73" s="50" t="s">
        <v>115</v>
      </c>
      <c r="K73" s="175">
        <f t="shared" si="4"/>
        <v>22014.39708976886</v>
      </c>
      <c r="N73" s="175">
        <v>22014.39708976886</v>
      </c>
    </row>
    <row r="74" spans="1:14">
      <c r="A74" s="50" t="s">
        <v>116</v>
      </c>
      <c r="B74" s="225">
        <f t="shared" si="5"/>
        <v>4027597.5235505826</v>
      </c>
      <c r="E74" t="s">
        <v>443</v>
      </c>
      <c r="F74" s="188">
        <v>4858.8858407723637</v>
      </c>
      <c r="J74" s="50" t="s">
        <v>116</v>
      </c>
      <c r="K74" s="175">
        <f t="shared" si="4"/>
        <v>4027597.5235505826</v>
      </c>
      <c r="N74" s="175">
        <v>4027597.5235505826</v>
      </c>
    </row>
    <row r="75" spans="1:14">
      <c r="A75" s="50" t="s">
        <v>285</v>
      </c>
      <c r="B75" s="225">
        <f>N75</f>
        <v>4890</v>
      </c>
      <c r="E75" t="s">
        <v>279</v>
      </c>
      <c r="F75" s="188">
        <v>149740.29795298603</v>
      </c>
      <c r="J75" s="50" t="s">
        <v>285</v>
      </c>
      <c r="K75" s="175">
        <v>4890</v>
      </c>
      <c r="N75" s="175">
        <v>4890</v>
      </c>
    </row>
    <row r="76" spans="1:14">
      <c r="A76" s="50" t="s">
        <v>117</v>
      </c>
      <c r="B76" s="225">
        <f t="shared" si="5"/>
        <v>53352.289577464791</v>
      </c>
      <c r="E76" t="s">
        <v>572</v>
      </c>
      <c r="F76" s="188">
        <v>16485444.160370998</v>
      </c>
      <c r="J76" s="50" t="s">
        <v>117</v>
      </c>
      <c r="K76" s="175">
        <f t="shared" si="4"/>
        <v>53352.289577464791</v>
      </c>
      <c r="N76" s="175">
        <v>53352.289577464791</v>
      </c>
    </row>
    <row r="77" spans="1:14">
      <c r="A77" s="50" t="s">
        <v>118</v>
      </c>
      <c r="B77" s="225">
        <f t="shared" si="5"/>
        <v>291480.27464882593</v>
      </c>
      <c r="E77" t="s">
        <v>573</v>
      </c>
      <c r="F77" s="188">
        <v>29291828.957768809</v>
      </c>
      <c r="J77" s="50" t="s">
        <v>118</v>
      </c>
      <c r="K77" s="175">
        <f t="shared" si="4"/>
        <v>291480.27464882593</v>
      </c>
      <c r="N77" s="175">
        <v>291480.27464882593</v>
      </c>
    </row>
    <row r="78" spans="1:14">
      <c r="A78" s="50" t="s">
        <v>181</v>
      </c>
      <c r="B78" s="225">
        <f t="shared" si="5"/>
        <v>120339.55790593175</v>
      </c>
      <c r="E78" t="s">
        <v>574</v>
      </c>
      <c r="F78" s="188">
        <v>2451180.1445054663</v>
      </c>
      <c r="J78" s="50" t="s">
        <v>181</v>
      </c>
      <c r="K78" s="175">
        <f t="shared" si="4"/>
        <v>120339.55790593175</v>
      </c>
      <c r="N78" s="175">
        <v>120339.55790593175</v>
      </c>
    </row>
    <row r="79" spans="1:14">
      <c r="A79" s="50" t="s">
        <v>119</v>
      </c>
      <c r="B79" s="225">
        <f>F128</f>
        <v>1875388.2094068029</v>
      </c>
      <c r="E79" t="s">
        <v>575</v>
      </c>
      <c r="F79" s="188">
        <v>6131674.4414216438</v>
      </c>
      <c r="J79" s="50" t="s">
        <v>119</v>
      </c>
      <c r="K79" s="175">
        <f>O128</f>
        <v>0</v>
      </c>
      <c r="N79" s="175">
        <v>222722.73892564097</v>
      </c>
    </row>
    <row r="80" spans="1:14">
      <c r="A80" s="50" t="s">
        <v>120</v>
      </c>
      <c r="B80" s="225">
        <f t="shared" si="5"/>
        <v>160227.2730533338</v>
      </c>
      <c r="E80" t="s">
        <v>540</v>
      </c>
      <c r="F80" s="188">
        <v>19497115.588443577</v>
      </c>
      <c r="J80" s="50" t="s">
        <v>120</v>
      </c>
      <c r="K80" s="175">
        <f t="shared" si="4"/>
        <v>160227.2730533338</v>
      </c>
      <c r="N80" s="175">
        <v>11000</v>
      </c>
    </row>
    <row r="81" spans="1:14">
      <c r="A81" t="s">
        <v>342</v>
      </c>
      <c r="B81" s="225">
        <f>F131</f>
        <v>17478.259659262498</v>
      </c>
      <c r="E81" t="s">
        <v>381</v>
      </c>
      <c r="F81" s="188">
        <v>4052.9371697653646</v>
      </c>
      <c r="J81" t="s">
        <v>342</v>
      </c>
      <c r="K81" s="175">
        <f>O131</f>
        <v>0</v>
      </c>
      <c r="N81" s="175">
        <v>43823204.664493874</v>
      </c>
    </row>
    <row r="82" spans="1:14">
      <c r="A82" s="89" t="s">
        <v>334</v>
      </c>
      <c r="B82" s="225">
        <f>F132</f>
        <v>16502.933121337941</v>
      </c>
      <c r="E82" t="s">
        <v>216</v>
      </c>
      <c r="F82" s="188">
        <v>5968.1259092712598</v>
      </c>
      <c r="J82" s="89" t="s">
        <v>334</v>
      </c>
      <c r="K82" s="175">
        <f>O132</f>
        <v>0</v>
      </c>
      <c r="N82" s="175">
        <v>1117411.9426617154</v>
      </c>
    </row>
    <row r="83" spans="1:14">
      <c r="A83" s="50" t="s">
        <v>121</v>
      </c>
      <c r="B83" s="225">
        <f t="shared" si="5"/>
        <v>43684.254432360933</v>
      </c>
      <c r="E83" t="s">
        <v>176</v>
      </c>
      <c r="F83" s="188">
        <v>298696.96129765618</v>
      </c>
      <c r="J83" s="50" t="s">
        <v>121</v>
      </c>
      <c r="K83" s="175">
        <f t="shared" si="4"/>
        <v>43684.254432360933</v>
      </c>
      <c r="N83" s="175">
        <v>43684.254432360933</v>
      </c>
    </row>
    <row r="84" spans="1:14">
      <c r="A84" s="50" t="s">
        <v>122</v>
      </c>
      <c r="B84" s="225">
        <f>20078620357/1000000</f>
        <v>20078.620357</v>
      </c>
      <c r="E84" t="s">
        <v>576</v>
      </c>
      <c r="F84" s="188">
        <v>1652895.5186977391</v>
      </c>
      <c r="J84" s="50" t="s">
        <v>122</v>
      </c>
      <c r="K84" s="175">
        <f t="shared" si="4"/>
        <v>0</v>
      </c>
      <c r="N84" s="175">
        <v>0</v>
      </c>
    </row>
    <row r="85" spans="1:14">
      <c r="A85" s="50" t="s">
        <v>220</v>
      </c>
      <c r="B85" s="225">
        <f>8239379403/1000000</f>
        <v>8239.3794030000008</v>
      </c>
      <c r="E85" t="s">
        <v>177</v>
      </c>
      <c r="F85" s="188">
        <v>3160442.6224650778</v>
      </c>
      <c r="J85" s="50" t="s">
        <v>220</v>
      </c>
      <c r="K85" s="175">
        <f t="shared" si="4"/>
        <v>0</v>
      </c>
      <c r="N85" s="175">
        <v>0</v>
      </c>
    </row>
    <row r="86" spans="1:14">
      <c r="A86" s="50" t="s">
        <v>13</v>
      </c>
      <c r="B86" s="225">
        <f t="shared" si="5"/>
        <v>84869.215513364819</v>
      </c>
      <c r="E86" t="s">
        <v>491</v>
      </c>
      <c r="F86" s="188">
        <v>6323.7163550500936</v>
      </c>
      <c r="J86" s="50" t="s">
        <v>13</v>
      </c>
      <c r="K86" s="175">
        <f t="shared" si="4"/>
        <v>84869.215513364819</v>
      </c>
      <c r="N86" s="175">
        <v>84869.215513364819</v>
      </c>
    </row>
    <row r="87" spans="1:14">
      <c r="A87" s="50" t="s">
        <v>182</v>
      </c>
      <c r="B87" s="225">
        <f t="shared" si="5"/>
        <v>93279.851863406235</v>
      </c>
      <c r="E87" t="s">
        <v>217</v>
      </c>
      <c r="F87" s="188">
        <v>20895.684425675219</v>
      </c>
      <c r="J87" s="50" t="s">
        <v>182</v>
      </c>
      <c r="K87" s="175">
        <f t="shared" si="4"/>
        <v>93279.851863406235</v>
      </c>
      <c r="N87" s="175">
        <v>93279.851863406235</v>
      </c>
    </row>
    <row r="88" spans="1:14">
      <c r="A88" s="50" t="s">
        <v>32</v>
      </c>
      <c r="B88" s="225">
        <f>F149</f>
        <v>49467.258923324385</v>
      </c>
      <c r="E88" t="s">
        <v>393</v>
      </c>
      <c r="F88" s="188">
        <v>2404.8887492190693</v>
      </c>
      <c r="J88" s="50" t="s">
        <v>32</v>
      </c>
      <c r="K88" s="175">
        <f>O149</f>
        <v>0</v>
      </c>
      <c r="N88" s="175">
        <v>540379.92126168101</v>
      </c>
    </row>
    <row r="89" spans="1:14">
      <c r="A89" s="50" t="s">
        <v>145</v>
      </c>
      <c r="B89" s="225">
        <f>F182</f>
        <v>16951.682245420201</v>
      </c>
      <c r="E89" t="s">
        <v>133</v>
      </c>
      <c r="F89" s="188">
        <v>34189.42354499553</v>
      </c>
      <c r="J89" s="50" t="s">
        <v>145</v>
      </c>
      <c r="K89" s="175">
        <f>O182</f>
        <v>0</v>
      </c>
      <c r="N89" s="175">
        <v>7941312.3814644702</v>
      </c>
    </row>
    <row r="90" spans="1:14">
      <c r="A90" s="50" t="s">
        <v>14</v>
      </c>
      <c r="B90" s="225">
        <f t="shared" si="5"/>
        <v>422227.00542868808</v>
      </c>
      <c r="E90" t="s">
        <v>178</v>
      </c>
      <c r="F90" s="188">
        <v>4685592.5778046865</v>
      </c>
      <c r="J90" s="50" t="s">
        <v>14</v>
      </c>
      <c r="K90" s="175">
        <f t="shared" si="4"/>
        <v>422227.00542868808</v>
      </c>
      <c r="N90" s="175">
        <v>422227.00542868808</v>
      </c>
    </row>
    <row r="91" spans="1:14">
      <c r="A91" s="121" t="s">
        <v>379</v>
      </c>
      <c r="B91" s="225">
        <f t="shared" si="5"/>
        <v>7061.6082672545081</v>
      </c>
      <c r="E91" t="s">
        <v>218</v>
      </c>
      <c r="F91" s="188">
        <v>82308.110386464061</v>
      </c>
      <c r="J91" s="50" t="s">
        <v>379</v>
      </c>
      <c r="K91" s="175">
        <f t="shared" si="4"/>
        <v>7061.6082672545081</v>
      </c>
      <c r="N91" s="175">
        <v>7061.6082672545081</v>
      </c>
    </row>
    <row r="92" spans="1:14">
      <c r="A92" s="50" t="s">
        <v>317</v>
      </c>
      <c r="B92" s="225">
        <f t="shared" si="5"/>
        <v>26794.747239880471</v>
      </c>
      <c r="E92" t="s">
        <v>407</v>
      </c>
      <c r="F92" s="188">
        <v>0</v>
      </c>
      <c r="J92" s="50" t="s">
        <v>317</v>
      </c>
      <c r="K92" s="175">
        <f t="shared" si="4"/>
        <v>26794.747239880471</v>
      </c>
      <c r="N92" s="175">
        <v>26794.747239880471</v>
      </c>
    </row>
    <row r="93" spans="1:14">
      <c r="A93" s="50" t="s">
        <v>183</v>
      </c>
      <c r="B93" s="225">
        <f t="shared" si="5"/>
        <v>24971.574502447478</v>
      </c>
      <c r="E93" t="s">
        <v>179</v>
      </c>
      <c r="F93" s="188">
        <v>256238.37177811793</v>
      </c>
      <c r="J93" s="50" t="s">
        <v>183</v>
      </c>
      <c r="K93" s="175">
        <f t="shared" si="4"/>
        <v>24971.574502447478</v>
      </c>
      <c r="N93" s="175">
        <v>24971.574502447478</v>
      </c>
    </row>
    <row r="94" spans="1:14">
      <c r="A94" s="50" t="s">
        <v>15</v>
      </c>
      <c r="B94" s="225">
        <f t="shared" si="5"/>
        <v>14937.861786169999</v>
      </c>
      <c r="E94" t="s">
        <v>382</v>
      </c>
      <c r="F94" s="188">
        <v>3326.5439743919296</v>
      </c>
      <c r="J94" s="50" t="s">
        <v>15</v>
      </c>
      <c r="K94" s="175">
        <f t="shared" si="4"/>
        <v>14937.861786169999</v>
      </c>
      <c r="N94" s="175">
        <v>14937.861786169999</v>
      </c>
    </row>
    <row r="95" spans="1:14">
      <c r="A95" s="50" t="s">
        <v>16</v>
      </c>
      <c r="B95" s="225">
        <f t="shared" si="5"/>
        <v>1856365.6161659381</v>
      </c>
      <c r="E95" t="s">
        <v>392</v>
      </c>
      <c r="F95" s="188">
        <v>1371.9185185185183</v>
      </c>
      <c r="J95" s="50" t="s">
        <v>16</v>
      </c>
      <c r="K95" s="175">
        <f t="shared" si="4"/>
        <v>1856365.6161659381</v>
      </c>
      <c r="N95" s="175">
        <v>1856365.6161659381</v>
      </c>
    </row>
    <row r="96" spans="1:14">
      <c r="A96" s="50" t="s">
        <v>17</v>
      </c>
      <c r="B96" s="225">
        <f t="shared" si="5"/>
        <v>18200.340853651684</v>
      </c>
      <c r="E96" t="s">
        <v>426</v>
      </c>
      <c r="F96" s="188">
        <v>6910</v>
      </c>
      <c r="J96" s="50" t="s">
        <v>17</v>
      </c>
      <c r="K96" s="175">
        <f t="shared" si="4"/>
        <v>18200.340853651684</v>
      </c>
      <c r="N96" s="175">
        <v>18200.340853651684</v>
      </c>
    </row>
    <row r="97" spans="1:14">
      <c r="A97" s="50" t="s">
        <v>63</v>
      </c>
      <c r="B97" s="225">
        <f t="shared" si="5"/>
        <v>23794.540024513171</v>
      </c>
      <c r="E97" t="s">
        <v>107</v>
      </c>
      <c r="F97" s="188">
        <v>113199.58115820274</v>
      </c>
      <c r="J97" s="50" t="s">
        <v>63</v>
      </c>
      <c r="K97" s="175">
        <f t="shared" si="4"/>
        <v>23794.540024513171</v>
      </c>
      <c r="N97" s="175">
        <v>23794.540024513171</v>
      </c>
    </row>
    <row r="98" spans="1:14">
      <c r="A98" s="50" t="s">
        <v>8</v>
      </c>
      <c r="B98" s="225">
        <f t="shared" si="5"/>
        <v>8270.0166708677389</v>
      </c>
      <c r="E98" t="s">
        <v>309</v>
      </c>
      <c r="F98" s="188">
        <v>25008.678293408433</v>
      </c>
      <c r="J98" s="50" t="s">
        <v>8</v>
      </c>
      <c r="K98" s="175">
        <f t="shared" si="4"/>
        <v>8270.0166708677389</v>
      </c>
      <c r="N98" s="175">
        <v>8270.0166708677389</v>
      </c>
    </row>
    <row r="99" spans="1:14">
      <c r="A99" s="50" t="s">
        <v>222</v>
      </c>
      <c r="B99" s="225">
        <f>N99</f>
        <v>16199</v>
      </c>
      <c r="E99" t="s">
        <v>325</v>
      </c>
      <c r="F99" s="188">
        <v>2218.3938045479822</v>
      </c>
      <c r="J99" s="50" t="s">
        <v>222</v>
      </c>
      <c r="K99" s="175">
        <v>16199</v>
      </c>
      <c r="N99" s="175">
        <v>16199</v>
      </c>
    </row>
    <row r="100" spans="1:14">
      <c r="A100" s="50" t="s">
        <v>18</v>
      </c>
      <c r="B100" s="225">
        <f t="shared" si="5"/>
        <v>160610.9940547341</v>
      </c>
      <c r="E100" t="s">
        <v>322</v>
      </c>
      <c r="F100" s="188">
        <v>24662.709832134293</v>
      </c>
      <c r="J100" s="50" t="s">
        <v>18</v>
      </c>
      <c r="K100" s="175">
        <f t="shared" si="4"/>
        <v>160610.9940547341</v>
      </c>
      <c r="N100" s="175">
        <v>160610.9940547341</v>
      </c>
    </row>
    <row r="101" spans="1:14">
      <c r="A101" s="50" t="s">
        <v>223</v>
      </c>
      <c r="B101" s="225">
        <f t="shared" si="5"/>
        <v>22745.341305062204</v>
      </c>
      <c r="E101" t="s">
        <v>318</v>
      </c>
      <c r="F101" s="188">
        <v>25224.154990794555</v>
      </c>
      <c r="J101" s="50" t="s">
        <v>223</v>
      </c>
      <c r="K101" s="175">
        <f t="shared" si="4"/>
        <v>22745.341305062204</v>
      </c>
      <c r="N101" s="175">
        <v>22745.341305062204</v>
      </c>
    </row>
    <row r="102" spans="1:14">
      <c r="A102" s="50" t="s">
        <v>136</v>
      </c>
      <c r="B102" s="225">
        <f t="shared" si="5"/>
        <v>13372.354511716025</v>
      </c>
      <c r="E102" t="s">
        <v>577</v>
      </c>
      <c r="F102" s="188">
        <v>1145111.3492625747</v>
      </c>
      <c r="J102" s="50" t="s">
        <v>136</v>
      </c>
      <c r="K102" s="175">
        <f t="shared" si="4"/>
        <v>13372.354511716025</v>
      </c>
      <c r="N102" s="175">
        <v>13372.354511716025</v>
      </c>
    </row>
    <row r="103" spans="1:14">
      <c r="A103" s="50" t="s">
        <v>369</v>
      </c>
      <c r="B103" s="225">
        <f t="shared" si="5"/>
        <v>42914.268286710925</v>
      </c>
      <c r="E103" t="s">
        <v>578</v>
      </c>
      <c r="F103" s="188">
        <v>71321142.708251134</v>
      </c>
      <c r="J103" s="50" t="s">
        <v>184</v>
      </c>
      <c r="K103" s="175">
        <f t="shared" si="4"/>
        <v>1214927.6985726559</v>
      </c>
      <c r="N103" s="175">
        <v>42914.268286710925</v>
      </c>
    </row>
    <row r="104" spans="1:14">
      <c r="A104" s="50" t="s">
        <v>184</v>
      </c>
      <c r="B104" s="225">
        <f t="shared" si="5"/>
        <v>1214927.6985726559</v>
      </c>
      <c r="E104" t="s">
        <v>108</v>
      </c>
      <c r="F104" s="188">
        <v>37093.565854043678</v>
      </c>
      <c r="J104" s="50" t="s">
        <v>21</v>
      </c>
      <c r="K104" s="175">
        <f t="shared" si="4"/>
        <v>260172.3850976165</v>
      </c>
      <c r="N104" s="175">
        <v>1214927.6985726559</v>
      </c>
    </row>
    <row r="105" spans="1:14">
      <c r="A105" s="50" t="s">
        <v>21</v>
      </c>
      <c r="B105" s="225">
        <f t="shared" si="5"/>
        <v>260172.3850976165</v>
      </c>
      <c r="E105" t="s">
        <v>475</v>
      </c>
      <c r="F105" s="188">
        <v>406863.39648734155</v>
      </c>
      <c r="J105" s="50" t="s">
        <v>22</v>
      </c>
      <c r="K105" s="175">
        <f t="shared" si="4"/>
        <v>19693.982967592558</v>
      </c>
      <c r="N105" s="175">
        <v>260172.3850976165</v>
      </c>
    </row>
    <row r="106" spans="1:14">
      <c r="A106" s="50" t="s">
        <v>22</v>
      </c>
      <c r="B106" s="225">
        <f t="shared" si="5"/>
        <v>19693.982967592558</v>
      </c>
      <c r="E106" t="s">
        <v>109</v>
      </c>
      <c r="F106" s="188">
        <v>222722.73892564097</v>
      </c>
      <c r="J106" s="50" t="s">
        <v>313</v>
      </c>
      <c r="K106" s="175">
        <f t="shared" si="4"/>
        <v>19876.12848578567</v>
      </c>
      <c r="N106" s="175">
        <v>19693.982967592558</v>
      </c>
    </row>
    <row r="107" spans="1:14">
      <c r="A107" s="50" t="s">
        <v>313</v>
      </c>
      <c r="B107" s="225">
        <f t="shared" si="5"/>
        <v>19876.12848578567</v>
      </c>
      <c r="E107" t="s">
        <v>579</v>
      </c>
      <c r="F107" s="188">
        <v>40930410.371533394</v>
      </c>
      <c r="J107" s="50" t="s">
        <v>185</v>
      </c>
      <c r="K107" s="175">
        <f t="shared" si="4"/>
        <v>252261.88014115053</v>
      </c>
      <c r="N107" s="175">
        <v>19876.12848578567</v>
      </c>
    </row>
    <row r="108" spans="1:14">
      <c r="A108" s="50" t="s">
        <v>185</v>
      </c>
      <c r="B108" s="225">
        <f t="shared" si="5"/>
        <v>252261.88014115053</v>
      </c>
      <c r="E108" t="s">
        <v>110</v>
      </c>
      <c r="F108" s="188">
        <v>33255.181468938186</v>
      </c>
      <c r="J108" s="50" t="s">
        <v>23</v>
      </c>
      <c r="K108" s="175">
        <f t="shared" si="4"/>
        <v>483592.64831330121</v>
      </c>
      <c r="N108" s="175">
        <v>252261.88014115053</v>
      </c>
    </row>
    <row r="109" spans="1:14">
      <c r="A109" s="50" t="s">
        <v>23</v>
      </c>
      <c r="B109" s="225">
        <f t="shared" si="5"/>
        <v>483592.64831330121</v>
      </c>
      <c r="E109" t="s">
        <v>580</v>
      </c>
      <c r="F109" s="188">
        <v>43823204.664493874</v>
      </c>
      <c r="J109" s="50" t="s">
        <v>24</v>
      </c>
      <c r="K109" s="175">
        <f t="shared" si="4"/>
        <v>107137.19876938646</v>
      </c>
      <c r="N109" s="175">
        <v>483592.64831330121</v>
      </c>
    </row>
    <row r="110" spans="1:14">
      <c r="A110" s="50" t="s">
        <v>24</v>
      </c>
      <c r="B110" s="225">
        <f t="shared" si="5"/>
        <v>107137.19876938646</v>
      </c>
      <c r="E110" t="s">
        <v>581</v>
      </c>
      <c r="F110" s="188">
        <v>1117411.9426617154</v>
      </c>
      <c r="J110" s="50" t="s">
        <v>25</v>
      </c>
      <c r="K110" s="175">
        <f t="shared" si="4"/>
        <v>371570.00012126582</v>
      </c>
      <c r="N110" s="175">
        <v>107137.19876938646</v>
      </c>
    </row>
    <row r="111" spans="1:14">
      <c r="A111" s="50" t="s">
        <v>25</v>
      </c>
      <c r="B111" s="225">
        <f t="shared" si="5"/>
        <v>371570.00012126582</v>
      </c>
      <c r="E111" t="s">
        <v>582</v>
      </c>
      <c r="F111" s="188">
        <v>1775382.3502987875</v>
      </c>
      <c r="J111" s="50" t="s">
        <v>26</v>
      </c>
      <c r="K111" s="175">
        <f t="shared" si="4"/>
        <v>86523.959131747193</v>
      </c>
      <c r="N111" s="175">
        <v>371570.00012126582</v>
      </c>
    </row>
    <row r="112" spans="1:14">
      <c r="A112" s="50" t="s">
        <v>26</v>
      </c>
      <c r="B112" s="225">
        <f t="shared" si="5"/>
        <v>86523.959131747193</v>
      </c>
      <c r="E112" t="s">
        <v>583</v>
      </c>
      <c r="F112" s="188">
        <v>2892794.2929605031</v>
      </c>
      <c r="J112" s="50" t="s">
        <v>9</v>
      </c>
      <c r="K112" s="175">
        <f t="shared" si="4"/>
        <v>31800.428265524628</v>
      </c>
      <c r="N112" s="175">
        <v>86523.959131747193</v>
      </c>
    </row>
    <row r="113" spans="1:14">
      <c r="A113" s="50" t="s">
        <v>9</v>
      </c>
      <c r="B113" s="225">
        <f t="shared" si="5"/>
        <v>31800.428265524628</v>
      </c>
      <c r="E113" t="s">
        <v>111</v>
      </c>
      <c r="F113" s="188">
        <v>3909891.5338580837</v>
      </c>
      <c r="J113" s="50" t="s">
        <v>27</v>
      </c>
      <c r="K113" s="175">
        <f t="shared" si="4"/>
        <v>44458.118397444545</v>
      </c>
      <c r="N113" s="175">
        <v>31800.428265524628</v>
      </c>
    </row>
    <row r="114" spans="1:14">
      <c r="A114" s="50" t="s">
        <v>27</v>
      </c>
      <c r="B114" s="225">
        <f t="shared" si="5"/>
        <v>44458.118397444545</v>
      </c>
      <c r="E114" t="s">
        <v>112</v>
      </c>
      <c r="F114" s="188">
        <v>1396300.0981909733</v>
      </c>
      <c r="J114" s="50" t="s">
        <v>28</v>
      </c>
      <c r="K114" s="175">
        <f t="shared" si="4"/>
        <v>289221.9690629408</v>
      </c>
      <c r="N114" s="175">
        <v>44458.118397444545</v>
      </c>
    </row>
    <row r="115" spans="1:14">
      <c r="A115" s="50" t="s">
        <v>28</v>
      </c>
      <c r="B115" s="225">
        <f t="shared" si="5"/>
        <v>289221.9690629408</v>
      </c>
      <c r="E115" t="s">
        <v>365</v>
      </c>
      <c r="F115" s="188">
        <v>475252.08921541576</v>
      </c>
      <c r="J115" s="50" t="s">
        <v>29</v>
      </c>
      <c r="K115" s="175">
        <f t="shared" si="4"/>
        <v>461617.50978235458</v>
      </c>
      <c r="N115" s="175">
        <v>289221.9690629408</v>
      </c>
    </row>
    <row r="116" spans="1:14">
      <c r="A116" s="50" t="s">
        <v>29</v>
      </c>
      <c r="B116" s="225">
        <f t="shared" si="5"/>
        <v>461617.50978235458</v>
      </c>
      <c r="E116" t="s">
        <v>323</v>
      </c>
      <c r="F116" s="188">
        <v>279641.25761538465</v>
      </c>
      <c r="J116" s="50" t="s">
        <v>30</v>
      </c>
      <c r="K116" s="175">
        <f t="shared" si="4"/>
        <v>917767.10614676145</v>
      </c>
      <c r="N116" s="175">
        <v>461617.50978235458</v>
      </c>
    </row>
    <row r="117" spans="1:14">
      <c r="A117" s="50" t="s">
        <v>30</v>
      </c>
      <c r="B117" s="225">
        <f t="shared" si="5"/>
        <v>917767.10614676145</v>
      </c>
      <c r="E117" t="s">
        <v>180</v>
      </c>
      <c r="F117" s="188">
        <v>609157.45974720537</v>
      </c>
      <c r="J117" s="50" t="s">
        <v>186</v>
      </c>
      <c r="K117" s="175">
        <f t="shared" si="4"/>
        <v>313271.18508510228</v>
      </c>
      <c r="N117" s="175">
        <v>917767.10614676145</v>
      </c>
    </row>
    <row r="118" spans="1:14">
      <c r="A118" s="50" t="s">
        <v>186</v>
      </c>
      <c r="B118" s="225">
        <f t="shared" si="5"/>
        <v>313271.18508510228</v>
      </c>
      <c r="E118" t="s">
        <v>113</v>
      </c>
      <c r="F118" s="188">
        <v>7431.2574109271272</v>
      </c>
      <c r="J118" s="50" t="s">
        <v>74</v>
      </c>
      <c r="K118" s="175">
        <f t="shared" si="4"/>
        <v>219162.63736263735</v>
      </c>
      <c r="N118" s="175">
        <v>313271.18508510228</v>
      </c>
    </row>
    <row r="119" spans="1:14">
      <c r="A119" s="50" t="s">
        <v>74</v>
      </c>
      <c r="B119" s="225">
        <f t="shared" si="5"/>
        <v>219162.63736263735</v>
      </c>
      <c r="E119" t="s">
        <v>114</v>
      </c>
      <c r="F119" s="188">
        <v>540379.92126168101</v>
      </c>
      <c r="J119" s="50" t="s">
        <v>286</v>
      </c>
      <c r="K119" s="175">
        <v>11000</v>
      </c>
      <c r="N119" s="175">
        <v>219162.63736263735</v>
      </c>
    </row>
    <row r="120" spans="1:14">
      <c r="A120" s="50" t="s">
        <v>286</v>
      </c>
      <c r="B120" s="225">
        <f>N120</f>
        <v>11000</v>
      </c>
      <c r="E120" t="s">
        <v>144</v>
      </c>
      <c r="F120" s="188">
        <v>2380825.0772435931</v>
      </c>
      <c r="J120" s="50" t="s">
        <v>0</v>
      </c>
      <c r="K120" s="175">
        <f t="shared" si="4"/>
        <v>382564.21798886574</v>
      </c>
      <c r="N120" s="175">
        <v>11000</v>
      </c>
    </row>
    <row r="121" spans="1:14">
      <c r="A121" s="50" t="s">
        <v>0</v>
      </c>
      <c r="B121" s="225">
        <f t="shared" si="5"/>
        <v>382564.21798886574</v>
      </c>
      <c r="E121" t="s">
        <v>115</v>
      </c>
      <c r="F121" s="188">
        <v>22014.39708976886</v>
      </c>
      <c r="J121" s="50" t="s">
        <v>1</v>
      </c>
      <c r="K121" s="175">
        <f>O204</f>
        <v>0</v>
      </c>
      <c r="N121" s="175">
        <v>382564.21798886574</v>
      </c>
    </row>
    <row r="122" spans="1:14">
      <c r="A122" s="50" t="s">
        <v>1</v>
      </c>
      <c r="B122" s="225">
        <f>F204</f>
        <v>2173835.8066716562</v>
      </c>
      <c r="E122" t="s">
        <v>116</v>
      </c>
      <c r="F122" s="188">
        <v>4027597.5235505826</v>
      </c>
      <c r="J122" s="50" t="s">
        <v>224</v>
      </c>
      <c r="K122" s="175">
        <f t="shared" si="4"/>
        <v>14251.642235096837</v>
      </c>
      <c r="N122" s="175">
        <v>2189893.1274263812</v>
      </c>
    </row>
    <row r="123" spans="1:14">
      <c r="A123" s="50" t="s">
        <v>224</v>
      </c>
      <c r="B123" s="225">
        <f t="shared" si="5"/>
        <v>14251.642235096837</v>
      </c>
      <c r="E123" t="s">
        <v>117</v>
      </c>
      <c r="F123" s="188">
        <v>53352.289577464791</v>
      </c>
      <c r="J123" s="50" t="s">
        <v>2</v>
      </c>
      <c r="K123" s="175">
        <f t="shared" si="4"/>
        <v>1239804.5333333332</v>
      </c>
      <c r="N123" s="175">
        <v>14251.642235096837</v>
      </c>
    </row>
    <row r="124" spans="1:14">
      <c r="A124" s="50" t="s">
        <v>2</v>
      </c>
      <c r="B124" s="225">
        <f t="shared" si="5"/>
        <v>1239804.5333333332</v>
      </c>
      <c r="E124" t="s">
        <v>118</v>
      </c>
      <c r="F124" s="188">
        <v>291480.27464882593</v>
      </c>
      <c r="J124" s="50" t="s">
        <v>135</v>
      </c>
      <c r="K124" s="175">
        <f t="shared" si="4"/>
        <v>32808.056600943579</v>
      </c>
      <c r="N124" s="175">
        <v>1239804.5333333332</v>
      </c>
    </row>
    <row r="125" spans="1:14">
      <c r="A125" s="50" t="s">
        <v>135</v>
      </c>
      <c r="B125" s="225">
        <f t="shared" si="5"/>
        <v>32808.056600943579</v>
      </c>
      <c r="E125" t="s">
        <v>181</v>
      </c>
      <c r="F125" s="188">
        <v>120339.55790593175</v>
      </c>
      <c r="J125" s="50" t="s">
        <v>146</v>
      </c>
      <c r="K125" s="175">
        <f>VLOOKUP(J125,$E$2:$F$267,2,FALSE)</f>
        <v>90097.765959111435</v>
      </c>
      <c r="N125" s="175">
        <v>32808.056600943579</v>
      </c>
    </row>
    <row r="126" spans="1:14">
      <c r="A126" s="50" t="s">
        <v>146</v>
      </c>
      <c r="B126" s="225">
        <f t="shared" si="5"/>
        <v>90097.765959111435</v>
      </c>
      <c r="E126" t="s">
        <v>404</v>
      </c>
      <c r="F126" s="188">
        <v>307.86256448971136</v>
      </c>
      <c r="J126" s="50" t="s">
        <v>280</v>
      </c>
      <c r="K126" s="175">
        <v>24800</v>
      </c>
      <c r="N126" s="175">
        <v>90097.765959111435</v>
      </c>
    </row>
    <row r="127" spans="1:14">
      <c r="A127" s="50" t="s">
        <v>280</v>
      </c>
      <c r="B127" s="225">
        <f>N127</f>
        <v>24800</v>
      </c>
      <c r="E127" t="s">
        <v>507</v>
      </c>
      <c r="F127" s="188">
        <v>0</v>
      </c>
      <c r="J127" s="50" t="s">
        <v>3</v>
      </c>
      <c r="K127" s="175">
        <f t="shared" ref="K127:K180" si="6">VLOOKUP(J127,$E$2:$F$267,2,FALSE)</f>
        <v>547386.64589184662</v>
      </c>
      <c r="N127" s="175">
        <v>24800</v>
      </c>
    </row>
    <row r="128" spans="1:14">
      <c r="A128" s="50" t="s">
        <v>3</v>
      </c>
      <c r="B128" s="225">
        <f t="shared" si="5"/>
        <v>547386.64589184662</v>
      </c>
      <c r="E128" t="s">
        <v>485</v>
      </c>
      <c r="F128" s="188">
        <v>1875388.2094068029</v>
      </c>
      <c r="J128" s="50" t="s">
        <v>61</v>
      </c>
      <c r="K128" s="175">
        <f>O216</f>
        <v>0</v>
      </c>
      <c r="N128" s="175">
        <v>547386.64589184662</v>
      </c>
    </row>
    <row r="129" spans="1:14">
      <c r="A129" s="50" t="s">
        <v>61</v>
      </c>
      <c r="B129" s="225">
        <f>F216</f>
        <v>140934.07653237498</v>
      </c>
      <c r="E129" t="s">
        <v>376</v>
      </c>
      <c r="F129" s="188">
        <v>11197.24632258802</v>
      </c>
      <c r="J129" s="141" t="s">
        <v>187</v>
      </c>
      <c r="K129" s="175">
        <f t="shared" si="6"/>
        <v>72972.015197385903</v>
      </c>
      <c r="N129" s="175">
        <v>1214927.6985726559</v>
      </c>
    </row>
    <row r="130" spans="1:14">
      <c r="A130" s="141" t="s">
        <v>187</v>
      </c>
      <c r="B130" s="225">
        <f t="shared" si="5"/>
        <v>72972.015197385903</v>
      </c>
      <c r="E130" t="s">
        <v>120</v>
      </c>
      <c r="F130" s="188">
        <v>160227.2730533338</v>
      </c>
      <c r="J130" s="50" t="s">
        <v>391</v>
      </c>
      <c r="K130" s="175">
        <f t="shared" si="6"/>
        <v>1583.9647037506109</v>
      </c>
      <c r="N130" s="175">
        <v>72972.015197385903</v>
      </c>
    </row>
    <row r="131" spans="1:14">
      <c r="A131" s="121" t="s">
        <v>391</v>
      </c>
      <c r="B131" s="225">
        <f t="shared" si="5"/>
        <v>1583.9647037506109</v>
      </c>
      <c r="E131" t="s">
        <v>343</v>
      </c>
      <c r="F131" s="188">
        <v>17478.259659262498</v>
      </c>
      <c r="J131" s="50" t="s">
        <v>76</v>
      </c>
      <c r="K131" s="175">
        <f t="shared" si="6"/>
        <v>401144.99837358523</v>
      </c>
      <c r="N131" s="175">
        <v>1583.9647037506109</v>
      </c>
    </row>
    <row r="132" spans="1:14">
      <c r="A132" s="50" t="s">
        <v>76</v>
      </c>
      <c r="B132" s="225">
        <f t="shared" ref="B132:B181" si="7">VLOOKUP(A132,$E$2:$F$266,2,FALSE)</f>
        <v>401144.99837358523</v>
      </c>
      <c r="E132" t="s">
        <v>486</v>
      </c>
      <c r="F132" s="188">
        <v>16502.933121337941</v>
      </c>
      <c r="J132" s="50" t="s">
        <v>138</v>
      </c>
      <c r="K132" s="175">
        <f t="shared" si="6"/>
        <v>1725671.6527421873</v>
      </c>
      <c r="N132" s="175" t="e">
        <v>#N/A</v>
      </c>
    </row>
    <row r="133" spans="1:14">
      <c r="A133" s="50" t="s">
        <v>138</v>
      </c>
      <c r="B133" s="225">
        <f t="shared" si="7"/>
        <v>1725671.6527421873</v>
      </c>
      <c r="E133" t="s">
        <v>584</v>
      </c>
      <c r="F133" s="188">
        <v>29979152.24511259</v>
      </c>
      <c r="J133" s="50" t="s">
        <v>134</v>
      </c>
      <c r="K133" s="175">
        <f t="shared" si="6"/>
        <v>98963.185509649949</v>
      </c>
      <c r="N133" s="175" t="e">
        <v>#N/A</v>
      </c>
    </row>
    <row r="134" spans="1:14">
      <c r="A134" s="50" t="s">
        <v>134</v>
      </c>
      <c r="B134" s="225">
        <f t="shared" si="7"/>
        <v>98963.185509649949</v>
      </c>
      <c r="E134" t="s">
        <v>298</v>
      </c>
      <c r="F134" s="188">
        <v>7110323.2546873493</v>
      </c>
      <c r="J134" s="50" t="s">
        <v>188</v>
      </c>
      <c r="K134" s="175">
        <v>11900</v>
      </c>
      <c r="N134" s="175" t="e">
        <v>#N/A</v>
      </c>
    </row>
    <row r="135" spans="1:14">
      <c r="A135" s="50" t="s">
        <v>188</v>
      </c>
      <c r="B135" s="225">
        <f>F215</f>
        <v>1797.8366659513574</v>
      </c>
      <c r="E135" t="s">
        <v>585</v>
      </c>
      <c r="F135" s="188">
        <v>6168787.3625953319</v>
      </c>
      <c r="J135" s="50" t="s">
        <v>10</v>
      </c>
      <c r="K135" s="175">
        <v>8100</v>
      </c>
      <c r="N135" s="175">
        <v>11900</v>
      </c>
    </row>
    <row r="136" spans="1:14">
      <c r="A136" s="50" t="s">
        <v>10</v>
      </c>
      <c r="B136" s="225">
        <f>F230</f>
        <v>1157.2074074074073</v>
      </c>
      <c r="E136" t="s">
        <v>586</v>
      </c>
      <c r="F136" s="188">
        <v>6776899.0400597788</v>
      </c>
      <c r="J136" s="50" t="s">
        <v>33</v>
      </c>
      <c r="K136" s="175">
        <f t="shared" si="6"/>
        <v>4416.7751120962666</v>
      </c>
      <c r="N136" s="175">
        <v>8100</v>
      </c>
    </row>
    <row r="137" spans="1:14">
      <c r="A137" s="50" t="s">
        <v>33</v>
      </c>
      <c r="B137" s="225">
        <f t="shared" si="7"/>
        <v>4416.7751120962666</v>
      </c>
      <c r="E137" t="s">
        <v>121</v>
      </c>
      <c r="F137" s="188">
        <v>43684.254432360933</v>
      </c>
      <c r="J137" s="50" t="s">
        <v>378</v>
      </c>
      <c r="K137" s="175">
        <f>O74</f>
        <v>0</v>
      </c>
      <c r="N137" s="175" t="e">
        <v>#N/A</v>
      </c>
    </row>
    <row r="138" spans="1:14">
      <c r="A138" s="50" t="s">
        <v>378</v>
      </c>
      <c r="B138" s="225">
        <f>F74</f>
        <v>4858.8858407723637</v>
      </c>
      <c r="E138" t="s">
        <v>587</v>
      </c>
      <c r="F138" s="188">
        <v>1536272.7278127088</v>
      </c>
      <c r="J138" s="50" t="s">
        <v>34</v>
      </c>
      <c r="K138" s="175">
        <f t="shared" si="6"/>
        <v>603715.22426579788</v>
      </c>
      <c r="N138" s="175">
        <v>32017179.839272998</v>
      </c>
    </row>
    <row r="139" spans="1:14">
      <c r="A139" s="50" t="s">
        <v>34</v>
      </c>
      <c r="B139" s="225">
        <f t="shared" si="7"/>
        <v>603715.22426579788</v>
      </c>
      <c r="E139" t="s">
        <v>122</v>
      </c>
      <c r="F139" s="188">
        <v>0</v>
      </c>
      <c r="J139" s="50" t="s">
        <v>35</v>
      </c>
      <c r="K139" s="175">
        <f t="shared" si="6"/>
        <v>936564.19804851583</v>
      </c>
      <c r="N139" s="175" t="e">
        <v>#N/A</v>
      </c>
    </row>
    <row r="140" spans="1:14">
      <c r="A140" s="50" t="s">
        <v>35</v>
      </c>
      <c r="B140" s="225">
        <f t="shared" si="7"/>
        <v>936564.19804851583</v>
      </c>
      <c r="E140" t="s">
        <v>383</v>
      </c>
      <c r="F140" s="188">
        <v>2271.7594545110724</v>
      </c>
      <c r="J140" s="50" t="s">
        <v>64</v>
      </c>
      <c r="K140" s="175">
        <f>761690</f>
        <v>761690</v>
      </c>
      <c r="N140" s="175" t="e">
        <v>#N/A</v>
      </c>
    </row>
    <row r="141" spans="1:14">
      <c r="A141" s="50" t="s">
        <v>64</v>
      </c>
      <c r="B141" s="225">
        <f>N141</f>
        <v>791610</v>
      </c>
      <c r="E141" t="s">
        <v>310</v>
      </c>
      <c r="F141" s="188">
        <v>4779.3009000000002</v>
      </c>
      <c r="J141" s="50" t="s">
        <v>375</v>
      </c>
      <c r="K141" s="175">
        <f t="shared" si="6"/>
        <v>14204.575548553579</v>
      </c>
      <c r="N141" s="175">
        <v>791610</v>
      </c>
    </row>
    <row r="142" spans="1:14">
      <c r="A142" s="50" t="s">
        <v>375</v>
      </c>
      <c r="B142" s="225">
        <f t="shared" si="7"/>
        <v>14204.575548553579</v>
      </c>
      <c r="E142" t="s">
        <v>314</v>
      </c>
      <c r="F142" s="188">
        <v>48487.151215345039</v>
      </c>
      <c r="J142" s="50" t="s">
        <v>324</v>
      </c>
      <c r="K142" s="175">
        <f t="shared" si="6"/>
        <v>78844.405385219507</v>
      </c>
      <c r="N142" s="175" t="e">
        <v>#N/A</v>
      </c>
    </row>
    <row r="143" spans="1:14">
      <c r="A143" s="121" t="s">
        <v>324</v>
      </c>
      <c r="B143" s="225">
        <f t="shared" si="7"/>
        <v>78844.405385219507</v>
      </c>
      <c r="E143" t="s">
        <v>220</v>
      </c>
      <c r="F143" s="188">
        <v>0</v>
      </c>
      <c r="J143" s="50" t="s">
        <v>65</v>
      </c>
      <c r="K143" s="175">
        <f t="shared" si="6"/>
        <v>526517.65884168376</v>
      </c>
      <c r="N143" s="175" t="e">
        <v>#N/A</v>
      </c>
    </row>
    <row r="144" spans="1:14">
      <c r="A144" s="50" t="s">
        <v>65</v>
      </c>
      <c r="B144" s="225">
        <f t="shared" si="7"/>
        <v>526517.65884168376</v>
      </c>
      <c r="E144" t="s">
        <v>13</v>
      </c>
      <c r="F144" s="188">
        <v>84869.215513364819</v>
      </c>
      <c r="J144" s="50" t="s">
        <v>316</v>
      </c>
      <c r="K144" s="175">
        <f t="shared" si="6"/>
        <v>10651.180146530964</v>
      </c>
      <c r="N144" s="175" t="e">
        <v>#N/A</v>
      </c>
    </row>
    <row r="145" spans="1:14">
      <c r="A145" s="50" t="s">
        <v>316</v>
      </c>
      <c r="B145" s="225">
        <f t="shared" si="7"/>
        <v>10651.180146530964</v>
      </c>
      <c r="E145" t="s">
        <v>588</v>
      </c>
      <c r="F145" s="188">
        <v>39397098.753614418</v>
      </c>
      <c r="J145" s="50" t="s">
        <v>11</v>
      </c>
      <c r="K145" s="175">
        <f t="shared" si="6"/>
        <v>25633.544529484869</v>
      </c>
      <c r="N145" s="175" t="e">
        <v>#N/A</v>
      </c>
    </row>
    <row r="146" spans="1:14">
      <c r="A146" s="50" t="s">
        <v>11</v>
      </c>
      <c r="B146" s="225">
        <f t="shared" si="7"/>
        <v>25633.544529484869</v>
      </c>
      <c r="E146" t="s">
        <v>589</v>
      </c>
      <c r="F146" s="188">
        <v>469282.28263252188</v>
      </c>
      <c r="J146" s="50" t="s">
        <v>77</v>
      </c>
      <c r="K146" s="175">
        <f t="shared" si="6"/>
        <v>51332.285656542161</v>
      </c>
      <c r="N146" s="175" t="e">
        <v>#N/A</v>
      </c>
    </row>
    <row r="147" spans="1:14">
      <c r="A147" s="50" t="s">
        <v>77</v>
      </c>
      <c r="B147" s="225">
        <f t="shared" si="7"/>
        <v>51332.285656542161</v>
      </c>
      <c r="E147" t="s">
        <v>590</v>
      </c>
      <c r="F147" s="188">
        <v>7941312.3814644702</v>
      </c>
      <c r="J147" s="50" t="s">
        <v>66</v>
      </c>
      <c r="K147" s="175">
        <f>O247</f>
        <v>0</v>
      </c>
      <c r="N147" s="175" t="e">
        <v>#N/A</v>
      </c>
    </row>
    <row r="148" spans="1:14">
      <c r="A148" s="50" t="s">
        <v>66</v>
      </c>
      <c r="B148" s="225">
        <f>F247</f>
        <v>1359123.7687741222</v>
      </c>
      <c r="E148" t="s">
        <v>182</v>
      </c>
      <c r="F148" s="188">
        <v>93279.851863406235</v>
      </c>
      <c r="J148" s="50" t="s">
        <v>287</v>
      </c>
      <c r="K148" s="175">
        <f t="shared" si="6"/>
        <v>1745.3779999999999</v>
      </c>
      <c r="N148" s="175">
        <v>1510802.8836841492</v>
      </c>
    </row>
    <row r="149" spans="1:14">
      <c r="A149" s="50" t="s">
        <v>287</v>
      </c>
      <c r="B149" s="225">
        <f t="shared" si="7"/>
        <v>1745.3779999999999</v>
      </c>
      <c r="E149" t="s">
        <v>476</v>
      </c>
      <c r="F149" s="188">
        <v>49467.258923324385</v>
      </c>
      <c r="J149" s="50" t="s">
        <v>225</v>
      </c>
      <c r="K149" s="175">
        <f t="shared" si="6"/>
        <v>53911.907086152532</v>
      </c>
      <c r="N149" s="175" t="e">
        <v>#N/A</v>
      </c>
    </row>
    <row r="150" spans="1:14">
      <c r="A150" s="50" t="s">
        <v>225</v>
      </c>
      <c r="B150" s="225">
        <f t="shared" si="7"/>
        <v>53911.907086152532</v>
      </c>
      <c r="E150" t="s">
        <v>328</v>
      </c>
      <c r="F150" s="188">
        <v>17420.501490123119</v>
      </c>
      <c r="J150" s="50" t="s">
        <v>68</v>
      </c>
      <c r="K150" s="175">
        <f t="shared" si="6"/>
        <v>190741.26241470463</v>
      </c>
      <c r="N150" s="175" t="e">
        <v>#N/A</v>
      </c>
    </row>
    <row r="151" spans="1:14">
      <c r="A151" s="50" t="s">
        <v>68</v>
      </c>
      <c r="B151" s="225">
        <f t="shared" si="7"/>
        <v>190741.26241470463</v>
      </c>
      <c r="E151" t="s">
        <v>319</v>
      </c>
      <c r="F151" s="188">
        <v>11316.41132946194</v>
      </c>
      <c r="J151" s="50" t="s">
        <v>60</v>
      </c>
      <c r="K151" s="175">
        <f t="shared" si="6"/>
        <v>552324.84683458146</v>
      </c>
      <c r="N151" s="175" t="e">
        <v>#N/A</v>
      </c>
    </row>
    <row r="152" spans="1:14">
      <c r="A152" s="50" t="s">
        <v>60</v>
      </c>
      <c r="B152" s="225">
        <f t="shared" si="7"/>
        <v>552324.84683458146</v>
      </c>
      <c r="E152" t="s">
        <v>14</v>
      </c>
      <c r="F152" s="188">
        <v>422227.00542868808</v>
      </c>
      <c r="J152" s="50" t="s">
        <v>57</v>
      </c>
      <c r="K152" s="175">
        <f t="shared" si="6"/>
        <v>3686033.0444821278</v>
      </c>
      <c r="N152" s="175" t="e">
        <v>#N/A</v>
      </c>
    </row>
    <row r="153" spans="1:14">
      <c r="A153" s="50" t="s">
        <v>57</v>
      </c>
      <c r="B153" s="225">
        <f t="shared" si="7"/>
        <v>3686033.0444821278</v>
      </c>
      <c r="E153" t="s">
        <v>379</v>
      </c>
      <c r="F153" s="188">
        <v>7061.6082672545081</v>
      </c>
      <c r="J153" s="50" t="s">
        <v>12</v>
      </c>
      <c r="K153" s="175">
        <f>O255</f>
        <v>0</v>
      </c>
      <c r="N153" s="175" t="e">
        <v>#N/A</v>
      </c>
    </row>
    <row r="154" spans="1:14">
      <c r="A154" s="8" t="str">
        <f>'Sovereign Ratings (Moody''s,S&amp;P)'!A153</f>
        <v>United States</v>
      </c>
      <c r="B154" s="225">
        <f t="shared" si="7"/>
        <v>28750956.130731199</v>
      </c>
      <c r="E154" t="s">
        <v>317</v>
      </c>
      <c r="F154" s="188">
        <v>26794.747239880471</v>
      </c>
      <c r="J154" s="50" t="s">
        <v>69</v>
      </c>
      <c r="K154" s="175">
        <f t="shared" si="6"/>
        <v>80961.511073579648</v>
      </c>
      <c r="N154" s="175">
        <v>822.15462108889722</v>
      </c>
    </row>
    <row r="155" spans="1:14">
      <c r="A155" s="50" t="s">
        <v>69</v>
      </c>
      <c r="B155" s="225">
        <f t="shared" si="7"/>
        <v>80961.511073579648</v>
      </c>
      <c r="E155" t="s">
        <v>183</v>
      </c>
      <c r="F155" s="188">
        <v>24971.574502447478</v>
      </c>
      <c r="J155" s="196" t="s">
        <v>367</v>
      </c>
      <c r="K155" s="175">
        <f t="shared" si="6"/>
        <v>114965.29346661102</v>
      </c>
      <c r="N155" s="175" t="e">
        <v>#N/A</v>
      </c>
    </row>
    <row r="156" spans="1:14">
      <c r="A156" s="134" t="s">
        <v>367</v>
      </c>
      <c r="B156" s="225">
        <f t="shared" si="7"/>
        <v>114965.29346661102</v>
      </c>
      <c r="E156" t="s">
        <v>403</v>
      </c>
      <c r="F156" s="188">
        <v>290.10848999023398</v>
      </c>
      <c r="J156" s="50" t="s">
        <v>70</v>
      </c>
      <c r="K156" s="175">
        <v>98400</v>
      </c>
      <c r="N156" s="175" t="e">
        <v>#N/A</v>
      </c>
    </row>
    <row r="157" spans="1:14">
      <c r="A157" s="50" t="s">
        <v>70</v>
      </c>
      <c r="B157" s="225">
        <f>F259</f>
        <v>119802.96325778269</v>
      </c>
      <c r="E157" t="s">
        <v>377</v>
      </c>
      <c r="F157" s="188">
        <v>10908.045686880798</v>
      </c>
      <c r="J157" s="50" t="s">
        <v>71</v>
      </c>
      <c r="K157" s="175">
        <v>408802</v>
      </c>
      <c r="N157" s="175">
        <v>98400</v>
      </c>
    </row>
    <row r="158" spans="1:14">
      <c r="A158" s="50" t="s">
        <v>71</v>
      </c>
      <c r="B158" s="225">
        <f>F260</f>
        <v>476388.23030717525</v>
      </c>
      <c r="E158" t="s">
        <v>15</v>
      </c>
      <c r="F158" s="188">
        <v>14937.861786169999</v>
      </c>
      <c r="J158" s="50" t="s">
        <v>189</v>
      </c>
      <c r="K158" s="175">
        <f t="shared" si="6"/>
        <v>25303.185342251072</v>
      </c>
      <c r="N158" s="175">
        <v>6971.1272353122959</v>
      </c>
    </row>
    <row r="159" spans="1:14">
      <c r="A159" s="50" t="s">
        <v>189</v>
      </c>
      <c r="B159" s="225">
        <f t="shared" si="7"/>
        <v>25303.185342251072</v>
      </c>
      <c r="E159" t="s">
        <v>16</v>
      </c>
      <c r="F159" s="188">
        <v>1856365.6161659381</v>
      </c>
      <c r="K159" s="175"/>
      <c r="N159" s="175" t="e">
        <v>#N/A</v>
      </c>
    </row>
    <row r="160" spans="1:14">
      <c r="B160" s="225"/>
      <c r="E160" t="s">
        <v>401</v>
      </c>
      <c r="F160" s="188">
        <v>471.42509948867502</v>
      </c>
      <c r="K160" s="175"/>
      <c r="N160" s="175"/>
    </row>
    <row r="161" spans="1:14">
      <c r="B161" s="225"/>
      <c r="E161" t="s">
        <v>591</v>
      </c>
      <c r="F161" s="188">
        <v>5094721.9468522947</v>
      </c>
      <c r="J161" s="197" t="s">
        <v>329</v>
      </c>
      <c r="K161" s="175">
        <f t="shared" si="6"/>
        <v>269322.28166477312</v>
      </c>
      <c r="N161" s="175"/>
    </row>
    <row r="162" spans="1:14">
      <c r="A162" s="171" t="s">
        <v>329</v>
      </c>
      <c r="B162" s="225">
        <f t="shared" si="7"/>
        <v>269322.28166477312</v>
      </c>
      <c r="E162" t="s">
        <v>592</v>
      </c>
      <c r="F162" s="188">
        <v>2203604.2274263818</v>
      </c>
      <c r="J162" s="196" t="s">
        <v>330</v>
      </c>
      <c r="K162" s="175">
        <v>14010</v>
      </c>
      <c r="N162" s="175">
        <v>269322.28166477312</v>
      </c>
    </row>
    <row r="163" spans="1:14">
      <c r="A163" s="134" t="s">
        <v>330</v>
      </c>
      <c r="B163" s="225">
        <f>F33</f>
        <v>15340.808592479976</v>
      </c>
      <c r="E163" t="s">
        <v>593</v>
      </c>
      <c r="F163" s="188">
        <v>2189893.1274263812</v>
      </c>
      <c r="J163" s="197" t="s">
        <v>326</v>
      </c>
      <c r="K163" s="175">
        <v>2038</v>
      </c>
      <c r="N163" s="175">
        <v>14010</v>
      </c>
    </row>
    <row r="164" spans="1:14">
      <c r="A164" s="171" t="s">
        <v>326</v>
      </c>
      <c r="B164" s="225">
        <f>F88</f>
        <v>2404.8887492190693</v>
      </c>
      <c r="E164" t="s">
        <v>594</v>
      </c>
      <c r="F164" s="188">
        <v>38925709.373017654</v>
      </c>
      <c r="J164" s="196" t="s">
        <v>309</v>
      </c>
      <c r="K164" s="175">
        <f t="shared" si="6"/>
        <v>25008.678293408433</v>
      </c>
      <c r="N164" s="175">
        <v>43130.419829349994</v>
      </c>
    </row>
    <row r="165" spans="1:14">
      <c r="A165" s="134" t="s">
        <v>309</v>
      </c>
      <c r="B165" s="225">
        <f t="shared" si="7"/>
        <v>25008.678293408433</v>
      </c>
      <c r="E165" t="s">
        <v>17</v>
      </c>
      <c r="F165" s="188">
        <v>18200.340853651684</v>
      </c>
      <c r="J165" s="197" t="s">
        <v>325</v>
      </c>
      <c r="K165" s="175">
        <f t="shared" si="6"/>
        <v>2218.3938045479822</v>
      </c>
      <c r="N165" s="175">
        <v>25008.678293408433</v>
      </c>
    </row>
    <row r="166" spans="1:14">
      <c r="A166" s="171" t="s">
        <v>325</v>
      </c>
      <c r="B166" s="225">
        <f t="shared" si="7"/>
        <v>2218.3938045479822</v>
      </c>
      <c r="E166" t="s">
        <v>427</v>
      </c>
      <c r="F166" s="188">
        <v>11125.783372479409</v>
      </c>
      <c r="J166" s="196" t="s">
        <v>322</v>
      </c>
      <c r="K166" s="175">
        <f t="shared" si="6"/>
        <v>24662.709832134293</v>
      </c>
      <c r="N166" s="175">
        <v>2218.3938045479822</v>
      </c>
    </row>
    <row r="167" spans="1:14">
      <c r="A167" s="134" t="s">
        <v>322</v>
      </c>
      <c r="B167" s="225">
        <f t="shared" si="7"/>
        <v>24662.709832134293</v>
      </c>
      <c r="E167" t="s">
        <v>63</v>
      </c>
      <c r="F167" s="188">
        <v>23794.540024513171</v>
      </c>
      <c r="J167" s="197" t="s">
        <v>318</v>
      </c>
      <c r="K167" s="175">
        <f t="shared" si="6"/>
        <v>25224.154990794555</v>
      </c>
      <c r="N167" s="175">
        <v>24662.709832134293</v>
      </c>
    </row>
    <row r="168" spans="1:14">
      <c r="A168" s="171" t="s">
        <v>318</v>
      </c>
      <c r="B168" s="225">
        <f t="shared" si="7"/>
        <v>25224.154990794555</v>
      </c>
      <c r="E168" t="s">
        <v>8</v>
      </c>
      <c r="F168" s="188">
        <v>8270.0166708677389</v>
      </c>
      <c r="J168" s="196" t="s">
        <v>320</v>
      </c>
      <c r="K168" s="175">
        <f>O115</f>
        <v>0</v>
      </c>
      <c r="N168" s="175">
        <v>25224.154990794555</v>
      </c>
    </row>
    <row r="169" spans="1:14">
      <c r="A169" s="134" t="s">
        <v>320</v>
      </c>
      <c r="B169" s="225">
        <f>F115</f>
        <v>475252.08921541576</v>
      </c>
      <c r="E169" t="s">
        <v>18</v>
      </c>
      <c r="F169" s="188">
        <v>160610.9940547341</v>
      </c>
      <c r="J169" s="197" t="s">
        <v>359</v>
      </c>
      <c r="K169" s="175">
        <v>28500</v>
      </c>
      <c r="N169" s="175">
        <v>256238.37177811793</v>
      </c>
    </row>
    <row r="170" spans="1:14">
      <c r="A170" s="171" t="s">
        <v>359</v>
      </c>
      <c r="B170" s="225">
        <f>F127</f>
        <v>0</v>
      </c>
      <c r="E170" t="s">
        <v>223</v>
      </c>
      <c r="F170" s="188">
        <v>22745.341305062204</v>
      </c>
      <c r="J170" s="196" t="s">
        <v>310</v>
      </c>
      <c r="K170" s="175">
        <f t="shared" si="6"/>
        <v>4779.3009000000002</v>
      </c>
      <c r="N170" s="175">
        <v>28500</v>
      </c>
    </row>
    <row r="171" spans="1:14">
      <c r="A171" s="134" t="s">
        <v>310</v>
      </c>
      <c r="B171" s="225">
        <f t="shared" si="7"/>
        <v>4779.3009000000002</v>
      </c>
      <c r="E171" t="s">
        <v>327</v>
      </c>
      <c r="F171" s="188">
        <v>74068.34952380952</v>
      </c>
      <c r="J171" s="197" t="s">
        <v>314</v>
      </c>
      <c r="K171" s="175">
        <f t="shared" si="6"/>
        <v>48487.151215345039</v>
      </c>
      <c r="N171" s="175">
        <v>4779.3009000000002</v>
      </c>
    </row>
    <row r="172" spans="1:14">
      <c r="A172" s="171" t="s">
        <v>314</v>
      </c>
      <c r="B172" s="225">
        <f t="shared" si="7"/>
        <v>48487.151215345039</v>
      </c>
      <c r="E172" t="s">
        <v>136</v>
      </c>
      <c r="F172" s="188">
        <v>13372.354511716025</v>
      </c>
      <c r="J172" s="196" t="s">
        <v>328</v>
      </c>
      <c r="K172" s="175">
        <f t="shared" si="6"/>
        <v>17420.501490123119</v>
      </c>
      <c r="N172" s="175">
        <v>48487.151215345039</v>
      </c>
    </row>
    <row r="173" spans="1:14">
      <c r="A173" s="134" t="s">
        <v>328</v>
      </c>
      <c r="B173" s="225">
        <f t="shared" si="7"/>
        <v>17420.501490123119</v>
      </c>
      <c r="E173" t="s">
        <v>487</v>
      </c>
      <c r="F173" s="188">
        <v>162.5886206322337</v>
      </c>
      <c r="J173" s="197" t="s">
        <v>319</v>
      </c>
      <c r="K173" s="175">
        <f t="shared" si="6"/>
        <v>11316.41132946194</v>
      </c>
      <c r="N173" s="175">
        <v>17420.501490123119</v>
      </c>
    </row>
    <row r="174" spans="1:14">
      <c r="A174" s="171" t="s">
        <v>319</v>
      </c>
      <c r="B174" s="225">
        <f t="shared" si="7"/>
        <v>11316.41132946194</v>
      </c>
      <c r="E174" t="s">
        <v>369</v>
      </c>
      <c r="F174" s="188">
        <v>42914.268286710925</v>
      </c>
      <c r="J174" s="196" t="s">
        <v>327</v>
      </c>
      <c r="K174" s="175">
        <f t="shared" si="6"/>
        <v>74068.34952380952</v>
      </c>
      <c r="N174" s="175">
        <v>11316.41132946194</v>
      </c>
    </row>
    <row r="175" spans="1:14">
      <c r="A175" s="134" t="s">
        <v>327</v>
      </c>
      <c r="B175" s="225">
        <f t="shared" si="7"/>
        <v>74068.34952380952</v>
      </c>
      <c r="E175" t="s">
        <v>184</v>
      </c>
      <c r="F175" s="188">
        <v>1214927.6985726559</v>
      </c>
      <c r="J175" s="197" t="s">
        <v>321</v>
      </c>
      <c r="K175" s="175">
        <f t="shared" si="6"/>
        <v>6971.1272353122959</v>
      </c>
      <c r="N175" s="175">
        <v>74068.34952380952</v>
      </c>
    </row>
    <row r="176" spans="1:14">
      <c r="A176" s="171" t="s">
        <v>321</v>
      </c>
      <c r="B176" s="225">
        <f t="shared" si="7"/>
        <v>6971.1272353122959</v>
      </c>
      <c r="E176" t="s">
        <v>490</v>
      </c>
      <c r="F176" s="188">
        <v>8548.9193871260668</v>
      </c>
      <c r="J176" s="196" t="s">
        <v>307</v>
      </c>
      <c r="K176" s="175" t="e">
        <f t="shared" si="6"/>
        <v>#N/A</v>
      </c>
      <c r="N176" s="175">
        <v>6971.1272353122959</v>
      </c>
    </row>
    <row r="177" spans="1:14">
      <c r="A177" s="134" t="s">
        <v>307</v>
      </c>
      <c r="B177" s="225">
        <f>F220</f>
        <v>11967</v>
      </c>
      <c r="E177" t="s">
        <v>21</v>
      </c>
      <c r="F177" s="188">
        <v>260172.3850976165</v>
      </c>
      <c r="J177" s="197" t="s">
        <v>311</v>
      </c>
      <c r="K177" s="175">
        <f t="shared" si="6"/>
        <v>49672.435513112599</v>
      </c>
      <c r="N177" s="175" t="e">
        <v>#N/A</v>
      </c>
    </row>
    <row r="178" spans="1:14">
      <c r="A178" s="171" t="s">
        <v>311</v>
      </c>
      <c r="B178" s="225">
        <f t="shared" si="7"/>
        <v>49672.435513112599</v>
      </c>
      <c r="E178" t="s">
        <v>22</v>
      </c>
      <c r="F178" s="188">
        <v>19693.982967592558</v>
      </c>
      <c r="J178" s="196" t="s">
        <v>308</v>
      </c>
      <c r="K178" s="175">
        <f>O238</f>
        <v>0</v>
      </c>
      <c r="N178" s="175" t="e">
        <v>#N/A</v>
      </c>
    </row>
    <row r="179" spans="1:14">
      <c r="A179" s="134" t="s">
        <v>308</v>
      </c>
      <c r="B179" s="225">
        <f>23622827080/1000000</f>
        <v>23622.827079999999</v>
      </c>
      <c r="E179" t="s">
        <v>313</v>
      </c>
      <c r="F179" s="188">
        <v>19876.12848578567</v>
      </c>
      <c r="J179" s="197" t="s">
        <v>315</v>
      </c>
      <c r="K179" s="175">
        <f>21610</f>
        <v>21610</v>
      </c>
      <c r="N179" s="175">
        <v>8980</v>
      </c>
    </row>
    <row r="180" spans="1:14">
      <c r="A180" s="171" t="s">
        <v>315</v>
      </c>
      <c r="B180" s="225">
        <f>21606160663.0318/1000000</f>
        <v>21606.160663031798</v>
      </c>
      <c r="E180" t="s">
        <v>185</v>
      </c>
      <c r="F180" s="188">
        <v>252261.88014115053</v>
      </c>
      <c r="J180" s="196" t="s">
        <v>312</v>
      </c>
      <c r="K180" s="175">
        <f t="shared" si="6"/>
        <v>41539.411516444794</v>
      </c>
      <c r="N180" s="175">
        <v>21610</v>
      </c>
    </row>
    <row r="181" spans="1:14">
      <c r="A181" s="134" t="s">
        <v>312</v>
      </c>
      <c r="B181" s="225">
        <f t="shared" si="7"/>
        <v>41539.411516444794</v>
      </c>
      <c r="E181" t="s">
        <v>130</v>
      </c>
      <c r="F181" s="188">
        <v>31003826.557364959</v>
      </c>
      <c r="N181" s="175" t="e">
        <v>#N/A</v>
      </c>
    </row>
    <row r="182" spans="1:14">
      <c r="E182" t="s">
        <v>452</v>
      </c>
      <c r="F182" s="188">
        <v>16951.682245420201</v>
      </c>
    </row>
    <row r="183" spans="1:14">
      <c r="E183" t="s">
        <v>428</v>
      </c>
      <c r="F183" s="188">
        <v>0</v>
      </c>
    </row>
    <row r="184" spans="1:14">
      <c r="E184" t="s">
        <v>23</v>
      </c>
      <c r="F184" s="188">
        <v>483592.64831330121</v>
      </c>
    </row>
    <row r="185" spans="1:14">
      <c r="E185" t="s">
        <v>595</v>
      </c>
      <c r="F185" s="188">
        <v>0</v>
      </c>
    </row>
    <row r="186" spans="1:14">
      <c r="E186" t="s">
        <v>596</v>
      </c>
      <c r="F186" s="188">
        <v>67500141.717526332</v>
      </c>
    </row>
    <row r="187" spans="1:14">
      <c r="E187" t="s">
        <v>24</v>
      </c>
      <c r="F187" s="188">
        <v>107137.19876938646</v>
      </c>
    </row>
    <row r="188" spans="1:14">
      <c r="E188" t="s">
        <v>597</v>
      </c>
      <c r="F188" s="188">
        <v>208127.28193163985</v>
      </c>
    </row>
    <row r="189" spans="1:14">
      <c r="E189" t="s">
        <v>598</v>
      </c>
      <c r="F189" s="188">
        <v>12124.739862530283</v>
      </c>
    </row>
    <row r="190" spans="1:14">
      <c r="E190" t="s">
        <v>25</v>
      </c>
      <c r="F190" s="188">
        <v>371570.00012126582</v>
      </c>
    </row>
    <row r="191" spans="1:14">
      <c r="E191" t="s">
        <v>402</v>
      </c>
      <c r="F191" s="188">
        <v>0</v>
      </c>
    </row>
    <row r="192" spans="1:14">
      <c r="E192" t="s">
        <v>26</v>
      </c>
      <c r="F192" s="188">
        <v>86523.959131747193</v>
      </c>
    </row>
    <row r="193" spans="5:6">
      <c r="E193" t="s">
        <v>9</v>
      </c>
      <c r="F193" s="188">
        <v>31800.428265524628</v>
      </c>
    </row>
    <row r="194" spans="5:6">
      <c r="E194" t="s">
        <v>27</v>
      </c>
      <c r="F194" s="188">
        <v>44458.118397444545</v>
      </c>
    </row>
    <row r="195" spans="5:6">
      <c r="E195" t="s">
        <v>28</v>
      </c>
      <c r="F195" s="188">
        <v>289221.9690629408</v>
      </c>
    </row>
    <row r="196" spans="5:6">
      <c r="E196" t="s">
        <v>29</v>
      </c>
      <c r="F196" s="188">
        <v>461617.50978235458</v>
      </c>
    </row>
    <row r="197" spans="5:6">
      <c r="E197" t="s">
        <v>30</v>
      </c>
      <c r="F197" s="188">
        <v>917767.10614676145</v>
      </c>
    </row>
    <row r="198" spans="5:6">
      <c r="E198" t="s">
        <v>186</v>
      </c>
      <c r="F198" s="188">
        <v>313271.18508510228</v>
      </c>
    </row>
    <row r="199" spans="5:6">
      <c r="E199" t="s">
        <v>599</v>
      </c>
      <c r="F199" s="188">
        <v>62787810.951925389</v>
      </c>
    </row>
    <row r="200" spans="5:6">
      <c r="E200" t="s">
        <v>600</v>
      </c>
      <c r="F200" s="188">
        <v>1510802.8836841492</v>
      </c>
    </row>
    <row r="201" spans="5:6">
      <c r="E201" t="s">
        <v>601</v>
      </c>
      <c r="F201" s="188">
        <v>126029.527033705</v>
      </c>
    </row>
    <row r="202" spans="5:6">
      <c r="E202" t="s">
        <v>74</v>
      </c>
      <c r="F202" s="188">
        <v>219162.63736263735</v>
      </c>
    </row>
    <row r="203" spans="5:6">
      <c r="E203" t="s">
        <v>0</v>
      </c>
      <c r="F203" s="188">
        <v>382564.21798886574</v>
      </c>
    </row>
    <row r="204" spans="5:6">
      <c r="E204" t="s">
        <v>488</v>
      </c>
      <c r="F204" s="188">
        <v>2173835.8066716562</v>
      </c>
    </row>
    <row r="205" spans="5:6">
      <c r="E205" t="s">
        <v>224</v>
      </c>
      <c r="F205" s="188">
        <v>14251.642235096837</v>
      </c>
    </row>
    <row r="206" spans="5:6">
      <c r="E206" t="s">
        <v>395</v>
      </c>
      <c r="F206" s="188">
        <v>1175.7497856511252</v>
      </c>
    </row>
    <row r="207" spans="5:6">
      <c r="E207" t="s">
        <v>429</v>
      </c>
      <c r="F207" s="188">
        <v>0</v>
      </c>
    </row>
    <row r="208" spans="5:6">
      <c r="E208" t="s">
        <v>509</v>
      </c>
      <c r="F208" s="188">
        <v>822.15462108889722</v>
      </c>
    </row>
    <row r="209" spans="5:6">
      <c r="E209" t="s">
        <v>2</v>
      </c>
      <c r="F209" s="188">
        <v>1239804.5333333332</v>
      </c>
    </row>
    <row r="210" spans="5:6">
      <c r="E210" t="s">
        <v>135</v>
      </c>
      <c r="F210" s="188">
        <v>32808.056600943579</v>
      </c>
    </row>
    <row r="211" spans="5:6">
      <c r="E211" t="s">
        <v>146</v>
      </c>
      <c r="F211" s="188">
        <v>90097.765959111435</v>
      </c>
    </row>
    <row r="212" spans="5:6">
      <c r="E212" t="s">
        <v>388</v>
      </c>
      <c r="F212" s="188">
        <v>2167.239562460129</v>
      </c>
    </row>
    <row r="213" spans="5:6">
      <c r="E213" t="s">
        <v>321</v>
      </c>
      <c r="F213" s="188">
        <v>6971.1272353122959</v>
      </c>
    </row>
    <row r="214" spans="5:6">
      <c r="E214" t="s">
        <v>3</v>
      </c>
      <c r="F214" s="188">
        <v>547386.64589184662</v>
      </c>
    </row>
    <row r="215" spans="5:6">
      <c r="E215" t="s">
        <v>412</v>
      </c>
      <c r="F215" s="188">
        <v>1797.8366659513574</v>
      </c>
    </row>
    <row r="216" spans="5:6">
      <c r="E216" t="s">
        <v>489</v>
      </c>
      <c r="F216" s="188">
        <v>140934.07653237498</v>
      </c>
    </row>
    <row r="217" spans="5:6">
      <c r="E217" t="s">
        <v>187</v>
      </c>
      <c r="F217" s="188">
        <v>72972.015197385903</v>
      </c>
    </row>
    <row r="218" spans="5:6">
      <c r="E218" t="s">
        <v>602</v>
      </c>
      <c r="F218" s="188">
        <v>310642.06664591242</v>
      </c>
    </row>
    <row r="219" spans="5:6">
      <c r="E219" t="s">
        <v>391</v>
      </c>
      <c r="F219" s="188">
        <v>1583.9647037506109</v>
      </c>
    </row>
    <row r="220" spans="5:6">
      <c r="E220" t="s">
        <v>603</v>
      </c>
      <c r="F220" s="188">
        <v>11967</v>
      </c>
    </row>
    <row r="221" spans="5:6">
      <c r="E221" t="s">
        <v>76</v>
      </c>
      <c r="F221" s="188">
        <v>401144.99837358523</v>
      </c>
    </row>
    <row r="222" spans="5:6">
      <c r="E222" t="s">
        <v>604</v>
      </c>
      <c r="F222" s="188">
        <v>4512296.6318663144</v>
      </c>
    </row>
    <row r="223" spans="5:6">
      <c r="E223" t="s">
        <v>605</v>
      </c>
      <c r="F223" s="188">
        <v>4512296.6318663144</v>
      </c>
    </row>
    <row r="224" spans="5:6">
      <c r="E224" t="s">
        <v>508</v>
      </c>
      <c r="F224" s="188">
        <v>0</v>
      </c>
    </row>
    <row r="225" spans="5:6">
      <c r="E225" t="s">
        <v>138</v>
      </c>
      <c r="F225" s="188">
        <v>1725671.6527421873</v>
      </c>
    </row>
    <row r="226" spans="5:6">
      <c r="E226" t="s">
        <v>134</v>
      </c>
      <c r="F226" s="188">
        <v>98963.185509649949</v>
      </c>
    </row>
    <row r="227" spans="5:6">
      <c r="E227" t="s">
        <v>394</v>
      </c>
      <c r="F227" s="188">
        <v>1122.3888888888889</v>
      </c>
    </row>
    <row r="228" spans="5:6">
      <c r="E228" t="s">
        <v>389</v>
      </c>
      <c r="F228" s="188">
        <v>2549.0629629629625</v>
      </c>
    </row>
    <row r="229" spans="5:6">
      <c r="E229" t="s">
        <v>506</v>
      </c>
      <c r="F229" s="188">
        <v>0</v>
      </c>
    </row>
    <row r="230" spans="5:6">
      <c r="E230" t="s">
        <v>397</v>
      </c>
      <c r="F230" s="188">
        <v>1157.2074074074073</v>
      </c>
    </row>
    <row r="231" spans="5:6">
      <c r="E231" t="s">
        <v>606</v>
      </c>
      <c r="F231" s="188">
        <v>1979078.5039913727</v>
      </c>
    </row>
    <row r="232" spans="5:6">
      <c r="E232" t="s">
        <v>607</v>
      </c>
      <c r="F232" s="188">
        <v>1827170.9664759266</v>
      </c>
    </row>
    <row r="233" spans="5:6">
      <c r="E233" t="s">
        <v>608</v>
      </c>
      <c r="F233" s="188">
        <v>1979078.5039913729</v>
      </c>
    </row>
    <row r="234" spans="5:6">
      <c r="E234" t="s">
        <v>311</v>
      </c>
      <c r="F234" s="188">
        <v>49672.435513112599</v>
      </c>
    </row>
    <row r="235" spans="5:6">
      <c r="E235" t="s">
        <v>33</v>
      </c>
      <c r="F235" s="188">
        <v>4416.7751120962666</v>
      </c>
    </row>
    <row r="236" spans="5:6">
      <c r="E236" t="s">
        <v>34</v>
      </c>
      <c r="F236" s="188">
        <v>603715.22426579788</v>
      </c>
    </row>
    <row r="237" spans="5:6">
      <c r="E237" t="s">
        <v>35</v>
      </c>
      <c r="F237" s="188">
        <v>936564.19804851583</v>
      </c>
    </row>
    <row r="238" spans="5:6">
      <c r="E238" t="s">
        <v>510</v>
      </c>
      <c r="F238" s="188">
        <v>0</v>
      </c>
    </row>
    <row r="239" spans="5:6">
      <c r="E239" t="s">
        <v>375</v>
      </c>
      <c r="F239" s="188">
        <v>14204.575548553579</v>
      </c>
    </row>
    <row r="240" spans="5:6">
      <c r="E240" t="s">
        <v>324</v>
      </c>
      <c r="F240" s="188">
        <v>78844.405385219507</v>
      </c>
    </row>
    <row r="241" spans="5:6">
      <c r="E241" t="s">
        <v>65</v>
      </c>
      <c r="F241" s="188">
        <v>526517.65884168376</v>
      </c>
    </row>
    <row r="242" spans="5:6">
      <c r="E242" t="s">
        <v>387</v>
      </c>
      <c r="F242" s="188">
        <v>1865.6085154132099</v>
      </c>
    </row>
    <row r="243" spans="5:6">
      <c r="E243" t="s">
        <v>316</v>
      </c>
      <c r="F243" s="188">
        <v>10651.180146530964</v>
      </c>
    </row>
    <row r="244" spans="5:6">
      <c r="E244" t="s">
        <v>400</v>
      </c>
      <c r="F244" s="188">
        <v>0</v>
      </c>
    </row>
    <row r="245" spans="5:6">
      <c r="E245" t="s">
        <v>11</v>
      </c>
      <c r="F245" s="188">
        <v>25633.544529484869</v>
      </c>
    </row>
    <row r="246" spans="5:6">
      <c r="E246" t="s">
        <v>77</v>
      </c>
      <c r="F246" s="188">
        <v>51332.285656542161</v>
      </c>
    </row>
    <row r="247" spans="5:6">
      <c r="E247" t="s">
        <v>493</v>
      </c>
      <c r="F247" s="188">
        <v>1359123.7687741222</v>
      </c>
    </row>
    <row r="248" spans="5:6">
      <c r="E248" t="s">
        <v>67</v>
      </c>
      <c r="F248" s="188">
        <v>51387.209872299369</v>
      </c>
    </row>
    <row r="249" spans="5:6">
      <c r="E249" t="s">
        <v>287</v>
      </c>
      <c r="F249" s="188">
        <v>1745.3779999999999</v>
      </c>
    </row>
    <row r="250" spans="5:6">
      <c r="E250" t="s">
        <v>405</v>
      </c>
      <c r="F250" s="188">
        <v>0</v>
      </c>
    </row>
    <row r="251" spans="5:6">
      <c r="E251" t="s">
        <v>225</v>
      </c>
      <c r="F251" s="188">
        <v>53911.907086152532</v>
      </c>
    </row>
    <row r="252" spans="5:6">
      <c r="E252" t="s">
        <v>68</v>
      </c>
      <c r="F252" s="188">
        <v>190741.26241470463</v>
      </c>
    </row>
    <row r="253" spans="5:6">
      <c r="E253" t="s">
        <v>60</v>
      </c>
      <c r="F253" s="188">
        <v>552324.84683458146</v>
      </c>
    </row>
    <row r="254" spans="5:6">
      <c r="E254" t="s">
        <v>57</v>
      </c>
      <c r="F254" s="188">
        <v>3686033.0444821278</v>
      </c>
    </row>
    <row r="255" spans="5:6">
      <c r="E255" t="s">
        <v>345</v>
      </c>
      <c r="F255" s="188">
        <v>28750956.130731199</v>
      </c>
    </row>
    <row r="256" spans="5:6">
      <c r="E256" t="s">
        <v>69</v>
      </c>
      <c r="F256" s="188">
        <v>80961.511073579648</v>
      </c>
    </row>
    <row r="257" spans="5:6">
      <c r="E257" t="s">
        <v>367</v>
      </c>
      <c r="F257" s="188">
        <v>114965.29346661102</v>
      </c>
    </row>
    <row r="258" spans="5:6">
      <c r="E258" t="s">
        <v>396</v>
      </c>
      <c r="F258" s="188">
        <v>1117.9720342264168</v>
      </c>
    </row>
    <row r="259" spans="5:6">
      <c r="E259" t="s">
        <v>511</v>
      </c>
      <c r="F259" s="188">
        <v>119802.96325778269</v>
      </c>
    </row>
    <row r="260" spans="5:6">
      <c r="E260" t="s">
        <v>532</v>
      </c>
      <c r="F260" s="188">
        <v>476388.23030717525</v>
      </c>
    </row>
    <row r="261" spans="5:6">
      <c r="E261" t="s">
        <v>430</v>
      </c>
      <c r="F261" s="188">
        <v>0</v>
      </c>
    </row>
    <row r="262" spans="5:6">
      <c r="E262" t="s">
        <v>372</v>
      </c>
      <c r="F262" s="188">
        <v>13711.1</v>
      </c>
    </row>
    <row r="263" spans="5:6">
      <c r="E263" t="s">
        <v>609</v>
      </c>
      <c r="F263" s="188">
        <v>110982661.18001343</v>
      </c>
    </row>
    <row r="264" spans="5:6">
      <c r="E264" t="s">
        <v>368</v>
      </c>
      <c r="F264" s="188">
        <v>0</v>
      </c>
    </row>
    <row r="265" spans="5:6">
      <c r="E265" t="s">
        <v>189</v>
      </c>
      <c r="F265" s="188">
        <v>25303.185342251072</v>
      </c>
    </row>
    <row r="266" spans="5:6">
      <c r="E266" t="s">
        <v>312</v>
      </c>
      <c r="F266" s="188">
        <v>41539.411516444794</v>
      </c>
    </row>
  </sheetData>
  <sortState xmlns:xlrd2="http://schemas.microsoft.com/office/spreadsheetml/2017/richdata2" ref="E2:F219">
    <sortCondition ref="E2:E219"/>
  </sortState>
  <hyperlinks>
    <hyperlink ref="D3" r:id="rId1" xr:uid="{00000000-0004-0000-0C00-000000000000}"/>
  </hyperlinks>
  <pageMargins left="0.75" right="0.75" top="1" bottom="1" header="0.5" footer="0.5"/>
  <pageSetup orientation="portrait" horizontalDpi="4294967292" verticalDpi="429496729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99"/>
  <sheetViews>
    <sheetView topLeftCell="A110" workbookViewId="0">
      <selection activeCell="F152" sqref="F152"/>
    </sheetView>
  </sheetViews>
  <sheetFormatPr baseColWidth="10" defaultRowHeight="16"/>
  <cols>
    <col min="1" max="1" width="27" bestFit="1" customWidth="1"/>
    <col min="2" max="2" width="16" style="193" customWidth="1"/>
    <col min="3" max="3" width="16" style="25" bestFit="1" customWidth="1"/>
    <col min="5" max="5" width="28" bestFit="1" customWidth="1"/>
    <col min="6" max="7" width="10.83203125" style="25"/>
    <col min="11" max="11" width="24" customWidth="1"/>
    <col min="15" max="15" width="21.1640625" customWidth="1"/>
  </cols>
  <sheetData>
    <row r="1" spans="1:18" ht="48" customHeight="1">
      <c r="A1" s="66" t="s">
        <v>75</v>
      </c>
      <c r="B1" s="67" t="s">
        <v>266</v>
      </c>
      <c r="C1" s="68" t="s">
        <v>288</v>
      </c>
      <c r="E1" s="15" t="s">
        <v>75</v>
      </c>
      <c r="F1" s="4" t="s">
        <v>231</v>
      </c>
      <c r="G1" s="210" t="s">
        <v>230</v>
      </c>
      <c r="H1" s="212" t="s">
        <v>542</v>
      </c>
      <c r="K1" s="258"/>
      <c r="L1" s="259" t="s">
        <v>469</v>
      </c>
      <c r="M1" s="259" t="s">
        <v>470</v>
      </c>
      <c r="O1" t="s">
        <v>75</v>
      </c>
      <c r="P1" s="227" t="s">
        <v>230</v>
      </c>
      <c r="R1" s="231" t="s">
        <v>543</v>
      </c>
    </row>
    <row r="2" spans="1:18" ht="20">
      <c r="A2" s="46" t="s">
        <v>268</v>
      </c>
      <c r="B2" s="69" t="e">
        <f>G2</f>
        <v>#N/A</v>
      </c>
      <c r="C2" s="68" t="str">
        <f>F2</f>
        <v>Aa2</v>
      </c>
      <c r="E2" s="136" t="s">
        <v>268</v>
      </c>
      <c r="F2" s="143" t="str">
        <f>VLOOKUP(E2,$K$2:$M$154,3,FALSE)</f>
        <v>Aa2</v>
      </c>
      <c r="G2" s="211" t="e">
        <f>VLOOKUP(E2,$O$2:$P$155,2,FALSE)</f>
        <v>#N/A</v>
      </c>
      <c r="H2" s="212" t="e">
        <f>VLOOKUP(E2,$Q$2:$R$161,2,FALSE)</f>
        <v>#N/A</v>
      </c>
      <c r="K2" s="100" t="s">
        <v>268</v>
      </c>
      <c r="L2" s="185" t="s">
        <v>45</v>
      </c>
      <c r="M2" s="185" t="s">
        <v>45</v>
      </c>
      <c r="N2" s="185"/>
      <c r="O2" s="99" t="s">
        <v>4</v>
      </c>
      <c r="P2" s="228" t="s">
        <v>212</v>
      </c>
      <c r="Q2" s="99" t="s">
        <v>4</v>
      </c>
      <c r="R2" s="232" t="s">
        <v>272</v>
      </c>
    </row>
    <row r="3" spans="1:18" ht="20">
      <c r="A3" s="46" t="s">
        <v>4</v>
      </c>
      <c r="B3" s="69" t="str">
        <f t="shared" ref="B3:B66" si="0">G3</f>
        <v>BB</v>
      </c>
      <c r="C3" s="150" t="str">
        <f t="shared" ref="C3:C66" si="1">F3</f>
        <v>Ba3</v>
      </c>
      <c r="E3" s="136" t="s">
        <v>4</v>
      </c>
      <c r="F3" s="143" t="str">
        <f t="shared" ref="F3:F66" si="2">VLOOKUP(E3,$K$2:$M$154,3,FALSE)</f>
        <v>Ba3</v>
      </c>
      <c r="G3" s="211" t="str">
        <f t="shared" ref="G3:G66" si="3">VLOOKUP(E3,$O$2:$P$155,2,FALSE)</f>
        <v>BB</v>
      </c>
      <c r="H3" s="212" t="str">
        <f t="shared" ref="H3:H66" si="4">VLOOKUP(E3,$Q$2:$R$161,2,FALSE)</f>
        <v>NR</v>
      </c>
      <c r="K3" s="100" t="s">
        <v>4</v>
      </c>
      <c r="L3" s="185" t="s">
        <v>81</v>
      </c>
      <c r="M3" s="185" t="s">
        <v>81</v>
      </c>
      <c r="N3" s="185"/>
      <c r="O3" s="99" t="s">
        <v>194</v>
      </c>
      <c r="P3" s="229" t="s">
        <v>195</v>
      </c>
      <c r="Q3" s="99" t="s">
        <v>194</v>
      </c>
      <c r="R3" s="232" t="s">
        <v>195</v>
      </c>
    </row>
    <row r="4" spans="1:18" ht="20">
      <c r="A4" s="46" t="s">
        <v>281</v>
      </c>
      <c r="B4" s="69" t="str">
        <f t="shared" si="0"/>
        <v>A-</v>
      </c>
      <c r="C4" s="150" t="str">
        <f t="shared" si="1"/>
        <v>Baa1</v>
      </c>
      <c r="E4" s="148" t="s">
        <v>194</v>
      </c>
      <c r="F4" s="143" t="str">
        <f t="shared" si="2"/>
        <v>Baa1</v>
      </c>
      <c r="G4" s="211" t="str">
        <f t="shared" si="3"/>
        <v>A-</v>
      </c>
      <c r="H4" s="212" t="str">
        <f t="shared" si="4"/>
        <v>A-</v>
      </c>
      <c r="K4" s="100" t="s">
        <v>194</v>
      </c>
      <c r="L4" s="185" t="s">
        <v>82</v>
      </c>
      <c r="M4" s="185" t="s">
        <v>82</v>
      </c>
      <c r="N4" s="185"/>
      <c r="O4" s="99" t="s">
        <v>131</v>
      </c>
      <c r="P4" s="228" t="s">
        <v>197</v>
      </c>
      <c r="Q4" s="99" t="s">
        <v>131</v>
      </c>
      <c r="R4" s="232" t="s">
        <v>197</v>
      </c>
    </row>
    <row r="5" spans="1:18" ht="20">
      <c r="A5" s="46" t="s">
        <v>131</v>
      </c>
      <c r="B5" s="69" t="str">
        <f t="shared" si="0"/>
        <v>B-</v>
      </c>
      <c r="C5" s="150" t="str">
        <f t="shared" si="1"/>
        <v>B3</v>
      </c>
      <c r="E5" s="136" t="s">
        <v>131</v>
      </c>
      <c r="F5" s="143" t="str">
        <f t="shared" si="2"/>
        <v>B3</v>
      </c>
      <c r="G5" s="211" t="str">
        <f t="shared" si="3"/>
        <v>B-</v>
      </c>
      <c r="H5" s="212" t="str">
        <f t="shared" si="4"/>
        <v>B-</v>
      </c>
      <c r="K5" s="100" t="s">
        <v>131</v>
      </c>
      <c r="L5" s="185" t="s">
        <v>78</v>
      </c>
      <c r="M5" s="185" t="s">
        <v>78</v>
      </c>
      <c r="N5" s="185"/>
      <c r="O5" s="99" t="s">
        <v>84</v>
      </c>
      <c r="P5" s="230" t="s">
        <v>215</v>
      </c>
      <c r="Q5" s="99" t="s">
        <v>84</v>
      </c>
      <c r="R5" s="232" t="s">
        <v>215</v>
      </c>
    </row>
    <row r="6" spans="1:18" ht="20">
      <c r="A6" s="46" t="s">
        <v>84</v>
      </c>
      <c r="B6" s="69" t="str">
        <f t="shared" si="0"/>
        <v>CCC+</v>
      </c>
      <c r="C6" s="150" t="str">
        <f t="shared" si="1"/>
        <v>Caa1</v>
      </c>
      <c r="E6" s="144" t="s">
        <v>84</v>
      </c>
      <c r="F6" s="143" t="str">
        <f t="shared" si="2"/>
        <v>Caa1</v>
      </c>
      <c r="G6" s="211" t="str">
        <f t="shared" si="3"/>
        <v>CCC+</v>
      </c>
      <c r="H6" s="212" t="str">
        <f t="shared" si="4"/>
        <v>CCC+</v>
      </c>
      <c r="K6" s="203" t="s">
        <v>84</v>
      </c>
      <c r="L6" s="186" t="s">
        <v>100</v>
      </c>
      <c r="M6" s="186" t="s">
        <v>100</v>
      </c>
      <c r="N6" s="186"/>
      <c r="O6" s="99" t="s">
        <v>19</v>
      </c>
      <c r="P6" s="228" t="s">
        <v>196</v>
      </c>
      <c r="Q6" s="99" t="s">
        <v>19</v>
      </c>
      <c r="R6" s="232" t="s">
        <v>196</v>
      </c>
    </row>
    <row r="7" spans="1:18" ht="20">
      <c r="A7" s="46" t="s">
        <v>19</v>
      </c>
      <c r="B7" s="69" t="str">
        <f t="shared" si="0"/>
        <v>BB-</v>
      </c>
      <c r="C7" s="150" t="str">
        <f t="shared" si="1"/>
        <v>Ba3</v>
      </c>
      <c r="E7" s="136" t="s">
        <v>19</v>
      </c>
      <c r="F7" s="143" t="str">
        <f t="shared" si="2"/>
        <v>Ba3</v>
      </c>
      <c r="G7" s="211" t="str">
        <f t="shared" si="3"/>
        <v>BB-</v>
      </c>
      <c r="H7" s="212" t="str">
        <f t="shared" si="4"/>
        <v>BB-</v>
      </c>
      <c r="K7" s="100" t="s">
        <v>19</v>
      </c>
      <c r="L7" s="185" t="s">
        <v>81</v>
      </c>
      <c r="M7" s="185" t="s">
        <v>81</v>
      </c>
      <c r="N7" s="185"/>
      <c r="O7" s="99" t="s">
        <v>198</v>
      </c>
      <c r="P7" s="228" t="s">
        <v>199</v>
      </c>
      <c r="Q7" s="99" t="s">
        <v>198</v>
      </c>
      <c r="R7" s="232" t="s">
        <v>202</v>
      </c>
    </row>
    <row r="8" spans="1:18" ht="20">
      <c r="A8" s="46" t="s">
        <v>198</v>
      </c>
      <c r="B8" s="69" t="str">
        <f t="shared" si="0"/>
        <v>BBB+</v>
      </c>
      <c r="C8" s="150" t="str">
        <f t="shared" si="1"/>
        <v>Baa3</v>
      </c>
      <c r="E8" s="148" t="s">
        <v>198</v>
      </c>
      <c r="F8" s="143" t="str">
        <f t="shared" si="2"/>
        <v>Baa3</v>
      </c>
      <c r="G8" s="211" t="str">
        <f t="shared" si="3"/>
        <v>BBB+</v>
      </c>
      <c r="H8" s="212" t="str">
        <f t="shared" si="4"/>
        <v>BBB-</v>
      </c>
      <c r="K8" s="100" t="s">
        <v>198</v>
      </c>
      <c r="L8" s="185" t="s">
        <v>124</v>
      </c>
      <c r="M8" s="185" t="s">
        <v>124</v>
      </c>
      <c r="N8" s="185"/>
      <c r="O8" s="99" t="s">
        <v>85</v>
      </c>
      <c r="P8" s="229" t="s">
        <v>200</v>
      </c>
      <c r="Q8" s="99" t="s">
        <v>85</v>
      </c>
      <c r="R8" s="232" t="s">
        <v>200</v>
      </c>
    </row>
    <row r="9" spans="1:18" ht="20">
      <c r="A9" s="46" t="s">
        <v>85</v>
      </c>
      <c r="B9" s="69" t="str">
        <f t="shared" si="0"/>
        <v>AAA</v>
      </c>
      <c r="C9" s="150" t="str">
        <f t="shared" si="1"/>
        <v>Aaa</v>
      </c>
      <c r="E9" s="136" t="s">
        <v>85</v>
      </c>
      <c r="F9" s="143" t="str">
        <f t="shared" si="2"/>
        <v>Aaa</v>
      </c>
      <c r="G9" s="211" t="str">
        <f t="shared" si="3"/>
        <v>AAA</v>
      </c>
      <c r="H9" s="212" t="str">
        <f t="shared" si="4"/>
        <v>AAA</v>
      </c>
      <c r="K9" s="100" t="s">
        <v>85</v>
      </c>
      <c r="L9" s="185" t="s">
        <v>47</v>
      </c>
      <c r="M9" s="185" t="s">
        <v>47</v>
      </c>
      <c r="N9" s="185"/>
      <c r="O9" s="99" t="s">
        <v>173</v>
      </c>
      <c r="P9" s="229" t="s">
        <v>201</v>
      </c>
      <c r="Q9" s="99" t="s">
        <v>173</v>
      </c>
      <c r="R9" s="232" t="s">
        <v>204</v>
      </c>
    </row>
    <row r="10" spans="1:18" ht="20">
      <c r="A10" s="46" t="s">
        <v>173</v>
      </c>
      <c r="B10" s="69" t="str">
        <f t="shared" si="0"/>
        <v>AA+</v>
      </c>
      <c r="C10" s="150" t="str">
        <f t="shared" si="1"/>
        <v>Aa1</v>
      </c>
      <c r="E10" s="145" t="s">
        <v>173</v>
      </c>
      <c r="F10" s="143" t="str">
        <f t="shared" si="2"/>
        <v>Aa1</v>
      </c>
      <c r="G10" s="211" t="str">
        <f t="shared" si="3"/>
        <v>AA+</v>
      </c>
      <c r="H10" s="212" t="str">
        <f t="shared" si="4"/>
        <v>AA</v>
      </c>
      <c r="K10" s="204" t="s">
        <v>173</v>
      </c>
      <c r="L10" s="185" t="s">
        <v>44</v>
      </c>
      <c r="M10" s="185" t="s">
        <v>44</v>
      </c>
      <c r="N10" s="185"/>
      <c r="O10" s="99" t="s">
        <v>20</v>
      </c>
      <c r="P10" s="230" t="s">
        <v>272</v>
      </c>
      <c r="Q10" s="99" t="s">
        <v>20</v>
      </c>
      <c r="R10" s="232" t="s">
        <v>202</v>
      </c>
    </row>
    <row r="11" spans="1:18" ht="20">
      <c r="A11" s="46" t="s">
        <v>20</v>
      </c>
      <c r="B11" s="69" t="str">
        <f t="shared" si="0"/>
        <v>NR</v>
      </c>
      <c r="C11" s="150" t="str">
        <f t="shared" si="1"/>
        <v>Baa3</v>
      </c>
      <c r="E11" s="136" t="s">
        <v>20</v>
      </c>
      <c r="F11" s="143" t="str">
        <f t="shared" si="2"/>
        <v>Baa3</v>
      </c>
      <c r="G11" s="211" t="str">
        <f t="shared" si="3"/>
        <v>NR</v>
      </c>
      <c r="H11" s="212" t="str">
        <f t="shared" si="4"/>
        <v>BBB-</v>
      </c>
      <c r="K11" s="100" t="s">
        <v>20</v>
      </c>
      <c r="L11" s="185" t="s">
        <v>124</v>
      </c>
      <c r="M11" s="185" t="s">
        <v>124</v>
      </c>
      <c r="N11" s="185"/>
      <c r="O11" s="99" t="s">
        <v>86</v>
      </c>
      <c r="P11" s="228" t="s">
        <v>196</v>
      </c>
      <c r="Q11" s="99" t="s">
        <v>86</v>
      </c>
      <c r="R11" s="232" t="s">
        <v>196</v>
      </c>
    </row>
    <row r="12" spans="1:18" ht="20">
      <c r="A12" s="46" t="s">
        <v>86</v>
      </c>
      <c r="B12" s="69" t="str">
        <f t="shared" si="0"/>
        <v>BB-</v>
      </c>
      <c r="C12" s="150" t="str">
        <f t="shared" si="1"/>
        <v>B1</v>
      </c>
      <c r="E12" s="145" t="s">
        <v>86</v>
      </c>
      <c r="F12" s="143" t="str">
        <f t="shared" si="2"/>
        <v>B1</v>
      </c>
      <c r="G12" s="211" t="str">
        <f t="shared" si="3"/>
        <v>BB-</v>
      </c>
      <c r="H12" s="212" t="str">
        <f t="shared" si="4"/>
        <v>BB-</v>
      </c>
      <c r="K12" s="204" t="s">
        <v>86</v>
      </c>
      <c r="L12" s="185" t="s">
        <v>48</v>
      </c>
      <c r="M12" s="185" t="s">
        <v>48</v>
      </c>
      <c r="N12" s="185"/>
      <c r="O12" s="99" t="s">
        <v>87</v>
      </c>
      <c r="P12" s="228" t="s">
        <v>206</v>
      </c>
      <c r="Q12" s="99" t="s">
        <v>87</v>
      </c>
      <c r="R12" s="232" t="s">
        <v>193</v>
      </c>
    </row>
    <row r="13" spans="1:18" ht="20">
      <c r="A13" s="46" t="s">
        <v>87</v>
      </c>
      <c r="B13" s="69" t="str">
        <f t="shared" si="0"/>
        <v>B</v>
      </c>
      <c r="C13" s="150" t="str">
        <f t="shared" si="1"/>
        <v>B2</v>
      </c>
      <c r="E13" s="136" t="s">
        <v>87</v>
      </c>
      <c r="F13" s="143" t="str">
        <f t="shared" si="2"/>
        <v>B2</v>
      </c>
      <c r="G13" s="211" t="str">
        <f t="shared" si="3"/>
        <v>B</v>
      </c>
      <c r="H13" s="212" t="str">
        <f t="shared" si="4"/>
        <v>B+</v>
      </c>
      <c r="K13" s="100" t="s">
        <v>471</v>
      </c>
      <c r="L13" s="185" t="s">
        <v>492</v>
      </c>
      <c r="M13" s="185" t="s">
        <v>492</v>
      </c>
      <c r="N13" s="185"/>
      <c r="O13" s="99" t="s">
        <v>132</v>
      </c>
      <c r="P13" s="228" t="s">
        <v>193</v>
      </c>
      <c r="Q13" s="99" t="s">
        <v>132</v>
      </c>
      <c r="R13" s="232" t="s">
        <v>193</v>
      </c>
    </row>
    <row r="14" spans="1:18" ht="20">
      <c r="A14" s="46" t="s">
        <v>132</v>
      </c>
      <c r="B14" s="69" t="str">
        <f t="shared" si="0"/>
        <v>B+</v>
      </c>
      <c r="C14" s="150" t="str">
        <f t="shared" si="1"/>
        <v>B2</v>
      </c>
      <c r="E14" s="136" t="s">
        <v>132</v>
      </c>
      <c r="F14" s="143" t="str">
        <f t="shared" si="2"/>
        <v>B2</v>
      </c>
      <c r="G14" s="211" t="str">
        <f t="shared" si="3"/>
        <v>B+</v>
      </c>
      <c r="H14" s="212" t="str">
        <f t="shared" si="4"/>
        <v>B+</v>
      </c>
      <c r="K14" s="100" t="s">
        <v>87</v>
      </c>
      <c r="L14" s="185" t="s">
        <v>49</v>
      </c>
      <c r="M14" s="185" t="s">
        <v>49</v>
      </c>
      <c r="N14" s="185"/>
      <c r="O14" s="99" t="s">
        <v>88</v>
      </c>
      <c r="P14" s="228" t="s">
        <v>193</v>
      </c>
      <c r="Q14" s="99" t="s">
        <v>88</v>
      </c>
      <c r="R14" s="232" t="s">
        <v>193</v>
      </c>
    </row>
    <row r="15" spans="1:18" ht="20">
      <c r="A15" s="46" t="s">
        <v>88</v>
      </c>
      <c r="B15" s="69" t="str">
        <f t="shared" si="0"/>
        <v>B+</v>
      </c>
      <c r="C15" s="150" t="str">
        <f t="shared" si="1"/>
        <v>B2</v>
      </c>
      <c r="E15" s="136" t="s">
        <v>88</v>
      </c>
      <c r="F15" s="143" t="str">
        <f t="shared" si="2"/>
        <v>B2</v>
      </c>
      <c r="G15" s="211" t="str">
        <f t="shared" si="3"/>
        <v>B+</v>
      </c>
      <c r="H15" s="212" t="str">
        <f t="shared" si="4"/>
        <v>B+</v>
      </c>
      <c r="K15" s="100" t="s">
        <v>472</v>
      </c>
      <c r="L15" s="185" t="s">
        <v>492</v>
      </c>
      <c r="M15" s="185" t="s">
        <v>492</v>
      </c>
      <c r="N15" s="185"/>
      <c r="O15" s="99" t="s">
        <v>5</v>
      </c>
      <c r="P15" s="230" t="s">
        <v>272</v>
      </c>
      <c r="Q15" s="99" t="s">
        <v>5</v>
      </c>
      <c r="R15" s="232" t="s">
        <v>232</v>
      </c>
    </row>
    <row r="16" spans="1:18" ht="20">
      <c r="A16" s="46" t="s">
        <v>5</v>
      </c>
      <c r="B16" s="69" t="str">
        <f t="shared" si="0"/>
        <v>NR</v>
      </c>
      <c r="C16" s="150" t="str">
        <f t="shared" si="1"/>
        <v>C</v>
      </c>
      <c r="E16" s="136" t="s">
        <v>5</v>
      </c>
      <c r="F16" s="143" t="str">
        <f t="shared" si="2"/>
        <v>C</v>
      </c>
      <c r="G16" s="211" t="str">
        <f t="shared" si="3"/>
        <v>NR</v>
      </c>
      <c r="H16" s="212" t="str">
        <f t="shared" si="4"/>
        <v>CCC</v>
      </c>
      <c r="K16" s="100" t="s">
        <v>132</v>
      </c>
      <c r="L16" s="185" t="s">
        <v>49</v>
      </c>
      <c r="M16" s="185" t="s">
        <v>49</v>
      </c>
      <c r="N16" s="185"/>
      <c r="O16" s="99" t="s">
        <v>174</v>
      </c>
      <c r="P16" s="229" t="s">
        <v>204</v>
      </c>
      <c r="Q16" s="99" t="s">
        <v>174</v>
      </c>
      <c r="R16" s="232" t="s">
        <v>219</v>
      </c>
    </row>
    <row r="17" spans="1:18" ht="20">
      <c r="A17" s="46" t="s">
        <v>174</v>
      </c>
      <c r="B17" s="69" t="str">
        <f t="shared" si="0"/>
        <v>AA</v>
      </c>
      <c r="C17" s="150" t="str">
        <f t="shared" si="1"/>
        <v>Aa3</v>
      </c>
      <c r="E17" s="136" t="s">
        <v>174</v>
      </c>
      <c r="F17" s="143" t="str">
        <f t="shared" si="2"/>
        <v>Aa3</v>
      </c>
      <c r="G17" s="211" t="str">
        <f t="shared" si="3"/>
        <v>AA</v>
      </c>
      <c r="H17" s="212" t="str">
        <f t="shared" si="4"/>
        <v>A+</v>
      </c>
      <c r="K17" s="100" t="s">
        <v>88</v>
      </c>
      <c r="L17" s="185" t="s">
        <v>49</v>
      </c>
      <c r="M17" s="185" t="s">
        <v>49</v>
      </c>
      <c r="N17" s="185"/>
      <c r="O17" s="99" t="s">
        <v>89</v>
      </c>
      <c r="P17" s="228" t="s">
        <v>197</v>
      </c>
      <c r="Q17" s="99" t="s">
        <v>89</v>
      </c>
      <c r="R17" s="232" t="s">
        <v>272</v>
      </c>
    </row>
    <row r="18" spans="1:18" ht="20">
      <c r="A18" s="46" t="s">
        <v>89</v>
      </c>
      <c r="B18" s="69" t="str">
        <f t="shared" si="0"/>
        <v>B-</v>
      </c>
      <c r="C18" s="150" t="str">
        <f t="shared" si="1"/>
        <v>Caa1</v>
      </c>
      <c r="E18" s="136" t="s">
        <v>89</v>
      </c>
      <c r="F18" s="143" t="str">
        <f t="shared" si="2"/>
        <v>Caa1</v>
      </c>
      <c r="G18" s="211" t="str">
        <f t="shared" si="3"/>
        <v>B-</v>
      </c>
      <c r="H18" s="212" t="str">
        <f t="shared" si="4"/>
        <v>NR</v>
      </c>
      <c r="K18" s="100" t="s">
        <v>5</v>
      </c>
      <c r="L18" s="185" t="s">
        <v>137</v>
      </c>
      <c r="M18" s="185" t="s">
        <v>137</v>
      </c>
      <c r="N18" s="185"/>
      <c r="O18" s="99" t="s">
        <v>205</v>
      </c>
      <c r="P18" s="228" t="s">
        <v>196</v>
      </c>
      <c r="Q18" s="99" t="s">
        <v>205</v>
      </c>
      <c r="R18" s="232" t="s">
        <v>193</v>
      </c>
    </row>
    <row r="19" spans="1:18" ht="20">
      <c r="A19" s="46" t="s">
        <v>205</v>
      </c>
      <c r="B19" s="69" t="str">
        <f t="shared" si="0"/>
        <v>BB-</v>
      </c>
      <c r="C19" s="150" t="str">
        <f t="shared" si="1"/>
        <v>B1</v>
      </c>
      <c r="E19" s="136" t="s">
        <v>205</v>
      </c>
      <c r="F19" s="143" t="str">
        <f t="shared" si="2"/>
        <v>B1</v>
      </c>
      <c r="G19" s="211" t="str">
        <f t="shared" si="3"/>
        <v>BB-</v>
      </c>
      <c r="H19" s="212" t="str">
        <f t="shared" si="4"/>
        <v>B+</v>
      </c>
      <c r="K19" s="100" t="s">
        <v>174</v>
      </c>
      <c r="L19" s="185" t="s">
        <v>46</v>
      </c>
      <c r="M19" s="185" t="s">
        <v>46</v>
      </c>
      <c r="N19" s="185"/>
      <c r="O19" s="99" t="s">
        <v>90</v>
      </c>
      <c r="P19" s="229" t="s">
        <v>219</v>
      </c>
      <c r="Q19" s="99" t="s">
        <v>90</v>
      </c>
      <c r="R19" s="232" t="s">
        <v>272</v>
      </c>
    </row>
    <row r="20" spans="1:18" ht="20">
      <c r="A20" s="46" t="s">
        <v>90</v>
      </c>
      <c r="B20" s="69" t="str">
        <f t="shared" si="0"/>
        <v>A+</v>
      </c>
      <c r="C20" s="150" t="str">
        <f t="shared" si="1"/>
        <v>A2</v>
      </c>
      <c r="E20" s="136" t="s">
        <v>90</v>
      </c>
      <c r="F20" s="143" t="str">
        <f t="shared" si="2"/>
        <v>A2</v>
      </c>
      <c r="G20" s="211" t="str">
        <f t="shared" si="3"/>
        <v>A+</v>
      </c>
      <c r="H20" s="212" t="str">
        <f t="shared" si="4"/>
        <v>NR</v>
      </c>
      <c r="K20" s="100" t="s">
        <v>89</v>
      </c>
      <c r="L20" s="185" t="s">
        <v>100</v>
      </c>
      <c r="M20" s="185" t="s">
        <v>100</v>
      </c>
      <c r="N20" s="185"/>
      <c r="O20" s="99" t="s">
        <v>91</v>
      </c>
      <c r="P20" s="230" t="s">
        <v>233</v>
      </c>
      <c r="Q20" s="99" t="s">
        <v>91</v>
      </c>
      <c r="R20" s="232" t="s">
        <v>232</v>
      </c>
    </row>
    <row r="21" spans="1:18" ht="20">
      <c r="A21" s="46" t="s">
        <v>91</v>
      </c>
      <c r="B21" s="69" t="str">
        <f t="shared" si="0"/>
        <v>CCC-</v>
      </c>
      <c r="C21" s="150" t="str">
        <f t="shared" si="1"/>
        <v>Caa3</v>
      </c>
      <c r="E21" s="136" t="s">
        <v>91</v>
      </c>
      <c r="F21" s="143" t="str">
        <f t="shared" si="2"/>
        <v>Caa3</v>
      </c>
      <c r="G21" s="211" t="str">
        <f t="shared" si="3"/>
        <v>CCC-</v>
      </c>
      <c r="H21" s="212" t="str">
        <f t="shared" si="4"/>
        <v>CCC</v>
      </c>
      <c r="K21" s="100" t="s">
        <v>205</v>
      </c>
      <c r="L21" s="185" t="s">
        <v>48</v>
      </c>
      <c r="M21" s="185" t="s">
        <v>48</v>
      </c>
      <c r="N21" s="185"/>
      <c r="O21" s="99" t="s">
        <v>7</v>
      </c>
      <c r="P21" s="228" t="s">
        <v>193</v>
      </c>
      <c r="Q21" s="99" t="s">
        <v>7</v>
      </c>
      <c r="R21" s="232" t="s">
        <v>272</v>
      </c>
    </row>
    <row r="22" spans="1:18" ht="20">
      <c r="A22" s="46" t="s">
        <v>7</v>
      </c>
      <c r="B22" s="69" t="str">
        <f t="shared" si="0"/>
        <v>B+</v>
      </c>
      <c r="C22" s="150" t="str">
        <f t="shared" si="1"/>
        <v>B3</v>
      </c>
      <c r="E22" s="136" t="s">
        <v>7</v>
      </c>
      <c r="F22" s="143" t="str">
        <f t="shared" si="2"/>
        <v>B3</v>
      </c>
      <c r="G22" s="211" t="str">
        <f t="shared" si="3"/>
        <v>B+</v>
      </c>
      <c r="H22" s="212" t="str">
        <f t="shared" si="4"/>
        <v>NR</v>
      </c>
      <c r="K22" s="100" t="s">
        <v>90</v>
      </c>
      <c r="L22" s="185" t="s">
        <v>42</v>
      </c>
      <c r="M22" s="185" t="s">
        <v>42</v>
      </c>
      <c r="N22" s="185"/>
      <c r="O22" s="99" t="s">
        <v>123</v>
      </c>
      <c r="P22" s="228" t="s">
        <v>203</v>
      </c>
      <c r="Q22" s="99" t="s">
        <v>123</v>
      </c>
      <c r="R22" s="232" t="s">
        <v>272</v>
      </c>
    </row>
    <row r="23" spans="1:18" ht="20">
      <c r="A23" s="46" t="s">
        <v>123</v>
      </c>
      <c r="B23" s="69" t="str">
        <f t="shared" si="0"/>
        <v>BBB</v>
      </c>
      <c r="C23" s="150" t="str">
        <f t="shared" si="1"/>
        <v>Baa1</v>
      </c>
      <c r="E23" s="144" t="s">
        <v>123</v>
      </c>
      <c r="F23" s="143" t="str">
        <f t="shared" si="2"/>
        <v>Baa1</v>
      </c>
      <c r="G23" s="211" t="str">
        <f t="shared" si="3"/>
        <v>BBB</v>
      </c>
      <c r="H23" s="212" t="str">
        <f t="shared" si="4"/>
        <v>NR</v>
      </c>
      <c r="K23" s="100" t="s">
        <v>91</v>
      </c>
      <c r="L23" s="185" t="s">
        <v>62</v>
      </c>
      <c r="M23" s="185" t="s">
        <v>62</v>
      </c>
      <c r="N23" s="185"/>
      <c r="O23" s="99" t="s">
        <v>92</v>
      </c>
      <c r="P23" s="228" t="s">
        <v>212</v>
      </c>
      <c r="Q23" s="99" t="s">
        <v>92</v>
      </c>
      <c r="R23" s="232" t="s">
        <v>212</v>
      </c>
    </row>
    <row r="24" spans="1:18" ht="20">
      <c r="A24" s="46" t="s">
        <v>92</v>
      </c>
      <c r="B24" s="69" t="str">
        <f t="shared" si="0"/>
        <v>BB</v>
      </c>
      <c r="C24" s="150" t="str">
        <f t="shared" si="1"/>
        <v>Ba1</v>
      </c>
      <c r="E24" s="136" t="s">
        <v>92</v>
      </c>
      <c r="F24" s="143" t="str">
        <f t="shared" si="2"/>
        <v>Ba1</v>
      </c>
      <c r="G24" s="211" t="str">
        <f t="shared" si="3"/>
        <v>BB</v>
      </c>
      <c r="H24" s="212" t="str">
        <f t="shared" si="4"/>
        <v>BB</v>
      </c>
      <c r="K24" s="100" t="s">
        <v>7</v>
      </c>
      <c r="L24" s="185" t="s">
        <v>78</v>
      </c>
      <c r="M24" s="185" t="s">
        <v>78</v>
      </c>
      <c r="N24" s="186"/>
      <c r="O24" s="99" t="s">
        <v>94</v>
      </c>
      <c r="P24" s="228" t="s">
        <v>199</v>
      </c>
      <c r="Q24" s="99" t="s">
        <v>94</v>
      </c>
      <c r="R24" s="232" t="s">
        <v>199</v>
      </c>
    </row>
    <row r="25" spans="1:18" ht="20">
      <c r="A25" s="46" t="s">
        <v>94</v>
      </c>
      <c r="B25" s="69" t="str">
        <f t="shared" si="0"/>
        <v>BBB+</v>
      </c>
      <c r="C25" s="150" t="str">
        <f t="shared" si="1"/>
        <v>Baa1</v>
      </c>
      <c r="E25" s="136" t="s">
        <v>94</v>
      </c>
      <c r="F25" s="143" t="str">
        <f t="shared" si="2"/>
        <v>Baa1</v>
      </c>
      <c r="G25" s="211" t="str">
        <f t="shared" si="3"/>
        <v>BBB+</v>
      </c>
      <c r="H25" s="212" t="str">
        <f t="shared" si="4"/>
        <v>BBB+</v>
      </c>
      <c r="K25" s="203" t="s">
        <v>123</v>
      </c>
      <c r="L25" s="185" t="s">
        <v>82</v>
      </c>
      <c r="M25" s="185" t="s">
        <v>82</v>
      </c>
      <c r="N25" s="185"/>
      <c r="O25" s="99" t="s">
        <v>208</v>
      </c>
      <c r="P25" s="230" t="s">
        <v>215</v>
      </c>
      <c r="Q25" s="99" t="s">
        <v>208</v>
      </c>
      <c r="R25" s="232" t="s">
        <v>272</v>
      </c>
    </row>
    <row r="26" spans="1:18" ht="20">
      <c r="A26" s="46" t="s">
        <v>208</v>
      </c>
      <c r="B26" s="69" t="str">
        <f t="shared" si="0"/>
        <v>CCC+</v>
      </c>
      <c r="C26" s="150" t="str">
        <f t="shared" si="1"/>
        <v>NR</v>
      </c>
      <c r="E26" s="148" t="s">
        <v>208</v>
      </c>
      <c r="F26" s="143" t="s">
        <v>272</v>
      </c>
      <c r="G26" s="211" t="str">
        <f t="shared" si="3"/>
        <v>CCC+</v>
      </c>
      <c r="H26" s="212" t="str">
        <f t="shared" si="4"/>
        <v>NR</v>
      </c>
      <c r="K26" s="100" t="s">
        <v>92</v>
      </c>
      <c r="L26" s="185" t="s">
        <v>79</v>
      </c>
      <c r="M26" s="185" t="s">
        <v>79</v>
      </c>
      <c r="N26" s="185"/>
      <c r="O26" s="99" t="s">
        <v>6</v>
      </c>
      <c r="P26" s="229" t="s">
        <v>611</v>
      </c>
      <c r="Q26" s="99" t="s">
        <v>6</v>
      </c>
      <c r="R26" s="232" t="s">
        <v>272</v>
      </c>
    </row>
    <row r="27" spans="1:18" ht="20">
      <c r="A27" s="46" t="s">
        <v>6</v>
      </c>
      <c r="B27" s="69" t="str">
        <f t="shared" si="0"/>
        <v>N/A</v>
      </c>
      <c r="C27" s="150" t="str">
        <f t="shared" si="1"/>
        <v>B2</v>
      </c>
      <c r="E27" s="136" t="s">
        <v>6</v>
      </c>
      <c r="F27" s="143" t="str">
        <f t="shared" si="2"/>
        <v>B2</v>
      </c>
      <c r="G27" s="211" t="str">
        <f t="shared" si="3"/>
        <v>N/A</v>
      </c>
      <c r="H27" s="212" t="str">
        <f t="shared" si="4"/>
        <v>NR</v>
      </c>
      <c r="K27" s="100" t="s">
        <v>94</v>
      </c>
      <c r="L27" s="185" t="s">
        <v>82</v>
      </c>
      <c r="M27" s="185" t="s">
        <v>82</v>
      </c>
      <c r="N27" s="185"/>
      <c r="O27" s="99" t="s">
        <v>209</v>
      </c>
      <c r="P27" s="228" t="s">
        <v>197</v>
      </c>
      <c r="Q27" s="99" t="s">
        <v>209</v>
      </c>
      <c r="R27" s="232" t="s">
        <v>206</v>
      </c>
    </row>
    <row r="28" spans="1:18" ht="20">
      <c r="A28" s="46" t="s">
        <v>209</v>
      </c>
      <c r="B28" s="69" t="str">
        <f t="shared" si="0"/>
        <v>B-</v>
      </c>
      <c r="C28" s="150" t="str">
        <f t="shared" si="1"/>
        <v>Caa1</v>
      </c>
      <c r="E28" s="144" t="s">
        <v>209</v>
      </c>
      <c r="F28" s="143" t="str">
        <f t="shared" si="2"/>
        <v>Caa1</v>
      </c>
      <c r="G28" s="211" t="str">
        <f t="shared" si="3"/>
        <v>B-</v>
      </c>
      <c r="H28" s="212" t="str">
        <f t="shared" si="4"/>
        <v>B</v>
      </c>
      <c r="K28" s="100" t="s">
        <v>6</v>
      </c>
      <c r="L28" s="185" t="s">
        <v>49</v>
      </c>
      <c r="M28" s="185" t="s">
        <v>49</v>
      </c>
      <c r="N28" s="185"/>
      <c r="O28" s="99" t="s">
        <v>95</v>
      </c>
      <c r="P28" s="229" t="s">
        <v>200</v>
      </c>
      <c r="Q28" s="99" t="s">
        <v>95</v>
      </c>
      <c r="R28" s="232" t="s">
        <v>201</v>
      </c>
    </row>
    <row r="29" spans="1:18" ht="20">
      <c r="A29" s="46" t="s">
        <v>95</v>
      </c>
      <c r="B29" s="69" t="str">
        <f t="shared" si="0"/>
        <v>AAA</v>
      </c>
      <c r="C29" s="150" t="str">
        <f t="shared" si="1"/>
        <v>Aaa</v>
      </c>
      <c r="E29" s="136" t="s">
        <v>95</v>
      </c>
      <c r="F29" s="143" t="str">
        <f t="shared" si="2"/>
        <v>Aaa</v>
      </c>
      <c r="G29" s="211" t="str">
        <f t="shared" si="3"/>
        <v>AAA</v>
      </c>
      <c r="H29" s="212" t="str">
        <f t="shared" si="4"/>
        <v>AA+</v>
      </c>
      <c r="K29" s="203" t="s">
        <v>209</v>
      </c>
      <c r="L29" s="185" t="s">
        <v>100</v>
      </c>
      <c r="M29" s="185" t="s">
        <v>100</v>
      </c>
      <c r="N29" s="185"/>
      <c r="O29" s="99" t="s">
        <v>210</v>
      </c>
      <c r="P29" s="228" t="s">
        <v>206</v>
      </c>
      <c r="Q29" s="99" t="s">
        <v>210</v>
      </c>
      <c r="R29" s="232" t="s">
        <v>206</v>
      </c>
    </row>
    <row r="30" spans="1:18" ht="20">
      <c r="A30" s="46" t="s">
        <v>210</v>
      </c>
      <c r="B30" s="69" t="str">
        <f t="shared" si="0"/>
        <v>B</v>
      </c>
      <c r="C30" s="150" t="str">
        <f t="shared" si="1"/>
        <v>NR</v>
      </c>
      <c r="E30" s="148" t="s">
        <v>210</v>
      </c>
      <c r="F30" s="143" t="s">
        <v>272</v>
      </c>
      <c r="G30" s="211" t="str">
        <f t="shared" si="3"/>
        <v>B</v>
      </c>
      <c r="H30" s="212" t="str">
        <f t="shared" si="4"/>
        <v>B</v>
      </c>
      <c r="K30" s="100" t="s">
        <v>95</v>
      </c>
      <c r="L30" s="185" t="s">
        <v>47</v>
      </c>
      <c r="M30" s="185" t="s">
        <v>47</v>
      </c>
      <c r="N30" s="185"/>
      <c r="O30" s="99" t="s">
        <v>55</v>
      </c>
      <c r="P30" s="230"/>
      <c r="Q30" s="99" t="s">
        <v>374</v>
      </c>
      <c r="R30" s="232" t="s">
        <v>197</v>
      </c>
    </row>
    <row r="31" spans="1:18" ht="20">
      <c r="A31" s="46" t="s">
        <v>55</v>
      </c>
      <c r="B31" s="69">
        <f t="shared" si="0"/>
        <v>0</v>
      </c>
      <c r="C31" s="150" t="str">
        <f t="shared" si="1"/>
        <v>Aa3</v>
      </c>
      <c r="E31" s="136" t="s">
        <v>55</v>
      </c>
      <c r="F31" s="143" t="str">
        <f t="shared" si="2"/>
        <v>Aa3</v>
      </c>
      <c r="G31" s="211">
        <f t="shared" si="3"/>
        <v>0</v>
      </c>
      <c r="H31" s="212" t="e">
        <f t="shared" si="4"/>
        <v>#N/A</v>
      </c>
      <c r="K31" s="100" t="s">
        <v>55</v>
      </c>
      <c r="L31" s="185" t="s">
        <v>46</v>
      </c>
      <c r="M31" s="185" t="s">
        <v>46</v>
      </c>
      <c r="N31" s="185"/>
      <c r="O31" s="99" t="s">
        <v>374</v>
      </c>
      <c r="P31" s="228" t="s">
        <v>197</v>
      </c>
      <c r="Q31" s="99" t="s">
        <v>96</v>
      </c>
      <c r="R31" s="232" t="s">
        <v>195</v>
      </c>
    </row>
    <row r="32" spans="1:18" ht="20">
      <c r="A32" s="46" t="s">
        <v>96</v>
      </c>
      <c r="B32" s="69" t="str">
        <f t="shared" si="0"/>
        <v>A</v>
      </c>
      <c r="C32" s="150" t="str">
        <f t="shared" si="1"/>
        <v>A2</v>
      </c>
      <c r="E32" s="136" t="s">
        <v>96</v>
      </c>
      <c r="F32" s="143" t="str">
        <f t="shared" si="2"/>
        <v>A2</v>
      </c>
      <c r="G32" s="211" t="str">
        <f t="shared" si="3"/>
        <v>A</v>
      </c>
      <c r="H32" s="212" t="str">
        <f t="shared" si="4"/>
        <v>A-</v>
      </c>
      <c r="K32" s="100" t="s">
        <v>473</v>
      </c>
      <c r="L32" s="185" t="s">
        <v>492</v>
      </c>
      <c r="M32" s="185" t="s">
        <v>492</v>
      </c>
      <c r="N32" s="185"/>
      <c r="O32" s="99" t="s">
        <v>96</v>
      </c>
      <c r="P32" s="229" t="s">
        <v>221</v>
      </c>
      <c r="Q32" s="99" t="s">
        <v>97</v>
      </c>
      <c r="R32" s="232" t="s">
        <v>221</v>
      </c>
    </row>
    <row r="33" spans="1:18" ht="20">
      <c r="A33" s="46" t="s">
        <v>97</v>
      </c>
      <c r="B33" s="69" t="str">
        <f t="shared" si="0"/>
        <v>A+</v>
      </c>
      <c r="C33" s="150" t="str">
        <f t="shared" si="1"/>
        <v>A1</v>
      </c>
      <c r="E33" s="136" t="s">
        <v>97</v>
      </c>
      <c r="F33" s="143" t="str">
        <f t="shared" si="2"/>
        <v>A1</v>
      </c>
      <c r="G33" s="211" t="str">
        <f t="shared" si="3"/>
        <v>A+</v>
      </c>
      <c r="H33" s="212" t="str">
        <f t="shared" si="4"/>
        <v>A</v>
      </c>
      <c r="K33" s="100" t="s">
        <v>96</v>
      </c>
      <c r="L33" s="185" t="s">
        <v>42</v>
      </c>
      <c r="M33" s="185" t="s">
        <v>42</v>
      </c>
      <c r="N33" s="185"/>
      <c r="O33" s="99" t="s">
        <v>97</v>
      </c>
      <c r="P33" s="229" t="s">
        <v>219</v>
      </c>
      <c r="Q33" s="99" t="s">
        <v>50</v>
      </c>
      <c r="R33" s="232" t="s">
        <v>212</v>
      </c>
    </row>
    <row r="34" spans="1:18" ht="20">
      <c r="A34" s="46" t="s">
        <v>50</v>
      </c>
      <c r="B34" s="69" t="str">
        <f t="shared" si="0"/>
        <v>BB</v>
      </c>
      <c r="C34" s="150" t="str">
        <f t="shared" si="1"/>
        <v>Baa3</v>
      </c>
      <c r="E34" s="136" t="s">
        <v>50</v>
      </c>
      <c r="F34" s="143" t="str">
        <f t="shared" si="2"/>
        <v>Baa3</v>
      </c>
      <c r="G34" s="211" t="str">
        <f t="shared" si="3"/>
        <v>BB</v>
      </c>
      <c r="H34" s="212" t="str">
        <f t="shared" si="4"/>
        <v>BB</v>
      </c>
      <c r="K34" s="100" t="s">
        <v>97</v>
      </c>
      <c r="L34" s="185" t="s">
        <v>41</v>
      </c>
      <c r="M34" s="185" t="s">
        <v>41</v>
      </c>
      <c r="N34" s="185"/>
      <c r="O34" s="99" t="s">
        <v>50</v>
      </c>
      <c r="P34" s="228" t="s">
        <v>212</v>
      </c>
      <c r="Q34" s="99" t="s">
        <v>56</v>
      </c>
      <c r="R34" s="232" t="s">
        <v>212</v>
      </c>
    </row>
    <row r="35" spans="1:18" ht="20">
      <c r="A35" s="46" t="s">
        <v>282</v>
      </c>
      <c r="B35" s="69" t="e">
        <f t="shared" si="0"/>
        <v>#N/A</v>
      </c>
      <c r="C35" s="150" t="str">
        <f t="shared" si="1"/>
        <v>B3</v>
      </c>
      <c r="E35" s="46" t="s">
        <v>282</v>
      </c>
      <c r="F35" s="143" t="s">
        <v>78</v>
      </c>
      <c r="G35" s="211" t="e">
        <f t="shared" si="3"/>
        <v>#N/A</v>
      </c>
      <c r="H35" s="212" t="e">
        <f t="shared" si="4"/>
        <v>#N/A</v>
      </c>
      <c r="K35" s="100" t="s">
        <v>50</v>
      </c>
      <c r="L35" s="185" t="s">
        <v>124</v>
      </c>
      <c r="M35" s="185" t="s">
        <v>124</v>
      </c>
      <c r="N35" s="185"/>
      <c r="O35" s="99" t="s">
        <v>467</v>
      </c>
      <c r="P35" s="228" t="s">
        <v>197</v>
      </c>
      <c r="Q35" s="99" t="s">
        <v>98</v>
      </c>
      <c r="R35" s="232" t="s">
        <v>195</v>
      </c>
    </row>
    <row r="36" spans="1:18" ht="20">
      <c r="A36" s="46" t="s">
        <v>283</v>
      </c>
      <c r="B36" s="69" t="str">
        <f t="shared" si="0"/>
        <v>CCC+</v>
      </c>
      <c r="C36" s="150" t="str">
        <f t="shared" si="1"/>
        <v>Caa2</v>
      </c>
      <c r="E36" s="46" t="s">
        <v>283</v>
      </c>
      <c r="F36" s="143" t="s">
        <v>58</v>
      </c>
      <c r="G36" s="211" t="s">
        <v>215</v>
      </c>
      <c r="H36" s="212" t="e">
        <f t="shared" si="4"/>
        <v>#N/A</v>
      </c>
      <c r="K36" s="100" t="s">
        <v>56</v>
      </c>
      <c r="L36" s="185" t="s">
        <v>80</v>
      </c>
      <c r="M36" s="185" t="s">
        <v>80</v>
      </c>
      <c r="N36" s="185"/>
      <c r="O36" s="99" t="s">
        <v>56</v>
      </c>
      <c r="P36" s="228" t="s">
        <v>212</v>
      </c>
      <c r="Q36" s="99" t="s">
        <v>99</v>
      </c>
      <c r="R36" s="232" t="s">
        <v>272</v>
      </c>
    </row>
    <row r="37" spans="1:18" ht="20">
      <c r="A37" s="46" t="s">
        <v>211</v>
      </c>
      <c r="B37" s="69" t="e">
        <f t="shared" si="0"/>
        <v>#N/A</v>
      </c>
      <c r="C37" s="150" t="str">
        <f t="shared" si="1"/>
        <v>B1</v>
      </c>
      <c r="E37" s="149" t="s">
        <v>211</v>
      </c>
      <c r="F37" s="213" t="s">
        <v>48</v>
      </c>
      <c r="G37" s="211" t="e">
        <f t="shared" si="3"/>
        <v>#N/A</v>
      </c>
      <c r="H37" s="212" t="e">
        <f t="shared" si="4"/>
        <v>#N/A</v>
      </c>
      <c r="K37" s="100" t="s">
        <v>358</v>
      </c>
      <c r="L37" s="185" t="s">
        <v>80</v>
      </c>
      <c r="M37" s="185" t="s">
        <v>80</v>
      </c>
      <c r="N37" s="185"/>
      <c r="O37" s="99" t="s">
        <v>98</v>
      </c>
      <c r="P37" s="229" t="s">
        <v>195</v>
      </c>
      <c r="Q37" s="99" t="s">
        <v>175</v>
      </c>
      <c r="R37" s="232" t="s">
        <v>195</v>
      </c>
    </row>
    <row r="38" spans="1:18" ht="20">
      <c r="A38" s="46" t="s">
        <v>56</v>
      </c>
      <c r="B38" s="69" t="str">
        <f t="shared" si="0"/>
        <v>BB</v>
      </c>
      <c r="C38" s="150" t="str">
        <f t="shared" si="1"/>
        <v>Ba2</v>
      </c>
      <c r="E38" s="136" t="s">
        <v>56</v>
      </c>
      <c r="F38" s="143" t="str">
        <f t="shared" si="2"/>
        <v>Ba2</v>
      </c>
      <c r="G38" s="211" t="str">
        <f t="shared" si="3"/>
        <v>BB</v>
      </c>
      <c r="H38" s="212" t="str">
        <f t="shared" si="4"/>
        <v>BB</v>
      </c>
      <c r="K38" s="100" t="s">
        <v>98</v>
      </c>
      <c r="L38" s="185" t="s">
        <v>43</v>
      </c>
      <c r="M38" s="185" t="s">
        <v>43</v>
      </c>
      <c r="N38" s="187"/>
      <c r="O38" s="99" t="s">
        <v>175</v>
      </c>
      <c r="P38" s="229" t="s">
        <v>195</v>
      </c>
      <c r="Q38" s="99" t="s">
        <v>504</v>
      </c>
      <c r="R38" s="232" t="s">
        <v>207</v>
      </c>
    </row>
    <row r="39" spans="1:18" ht="20">
      <c r="A39" s="46" t="s">
        <v>278</v>
      </c>
      <c r="B39" s="69" t="e">
        <f t="shared" si="0"/>
        <v>#N/A</v>
      </c>
      <c r="C39" s="150" t="str">
        <f t="shared" si="1"/>
        <v>Ba2</v>
      </c>
      <c r="E39" s="136" t="s">
        <v>358</v>
      </c>
      <c r="F39" s="143" t="str">
        <f t="shared" si="2"/>
        <v>Ba2</v>
      </c>
      <c r="G39" s="211" t="e">
        <f t="shared" si="3"/>
        <v>#N/A</v>
      </c>
      <c r="H39" s="212" t="e">
        <f t="shared" si="4"/>
        <v>#N/A</v>
      </c>
      <c r="K39" s="205" t="s">
        <v>99</v>
      </c>
      <c r="L39" s="187" t="s">
        <v>534</v>
      </c>
      <c r="M39" s="187" t="s">
        <v>534</v>
      </c>
      <c r="N39" s="185"/>
      <c r="O39" s="99" t="s">
        <v>101</v>
      </c>
      <c r="P39" s="229" t="s">
        <v>207</v>
      </c>
      <c r="Q39" s="99" t="s">
        <v>474</v>
      </c>
      <c r="R39" s="232" t="s">
        <v>272</v>
      </c>
    </row>
    <row r="40" spans="1:18" ht="20">
      <c r="A40" s="46" t="s">
        <v>98</v>
      </c>
      <c r="B40" s="69" t="str">
        <f t="shared" si="0"/>
        <v>A-</v>
      </c>
      <c r="C40" s="150" t="str">
        <f t="shared" si="1"/>
        <v>A3</v>
      </c>
      <c r="E40" s="136" t="s">
        <v>98</v>
      </c>
      <c r="F40" s="143" t="str">
        <f t="shared" si="2"/>
        <v>A3</v>
      </c>
      <c r="G40" s="211" t="str">
        <f t="shared" si="3"/>
        <v>A-</v>
      </c>
      <c r="H40" s="212" t="str">
        <f t="shared" si="4"/>
        <v>A-</v>
      </c>
      <c r="K40" s="100" t="s">
        <v>175</v>
      </c>
      <c r="L40" s="185" t="s">
        <v>43</v>
      </c>
      <c r="M40" s="185" t="s">
        <v>43</v>
      </c>
      <c r="N40" s="185"/>
      <c r="O40" s="99" t="s">
        <v>102</v>
      </c>
      <c r="P40" s="229" t="s">
        <v>200</v>
      </c>
      <c r="Q40" s="99" t="s">
        <v>102</v>
      </c>
      <c r="R40" s="232" t="s">
        <v>200</v>
      </c>
    </row>
    <row r="41" spans="1:18" ht="20">
      <c r="A41" s="46" t="s">
        <v>99</v>
      </c>
      <c r="B41" s="69" t="e">
        <f t="shared" si="0"/>
        <v>#N/A</v>
      </c>
      <c r="C41" s="150" t="str">
        <f t="shared" si="1"/>
        <v>Ca</v>
      </c>
      <c r="E41" s="136" t="s">
        <v>99</v>
      </c>
      <c r="F41" s="143" t="s">
        <v>335</v>
      </c>
      <c r="G41" s="211" t="e">
        <f t="shared" si="3"/>
        <v>#N/A</v>
      </c>
      <c r="H41" s="212" t="str">
        <f t="shared" si="4"/>
        <v>NR</v>
      </c>
      <c r="K41" s="100" t="s">
        <v>101</v>
      </c>
      <c r="L41" s="185" t="s">
        <v>46</v>
      </c>
      <c r="M41" s="185" t="s">
        <v>46</v>
      </c>
      <c r="N41" s="185"/>
      <c r="O41" s="99" t="s">
        <v>103</v>
      </c>
      <c r="P41" s="228" t="s">
        <v>212</v>
      </c>
      <c r="Q41" s="99" t="s">
        <v>103</v>
      </c>
      <c r="R41" s="232" t="s">
        <v>196</v>
      </c>
    </row>
    <row r="42" spans="1:18" ht="20">
      <c r="A42" s="46" t="s">
        <v>214</v>
      </c>
      <c r="B42" s="69" t="s">
        <v>202</v>
      </c>
      <c r="C42" s="150" t="str">
        <f t="shared" si="1"/>
        <v>NR</v>
      </c>
      <c r="E42" s="149" t="s">
        <v>214</v>
      </c>
      <c r="F42" s="143" t="s">
        <v>272</v>
      </c>
      <c r="G42" s="211" t="e">
        <f t="shared" si="3"/>
        <v>#N/A</v>
      </c>
      <c r="H42" s="212" t="e">
        <f t="shared" si="4"/>
        <v>#N/A</v>
      </c>
      <c r="K42" s="100" t="s">
        <v>474</v>
      </c>
      <c r="L42" s="185" t="s">
        <v>78</v>
      </c>
      <c r="M42" s="185" t="s">
        <v>78</v>
      </c>
      <c r="N42" s="185"/>
      <c r="O42" s="99" t="s">
        <v>104</v>
      </c>
      <c r="P42" s="228" t="s">
        <v>197</v>
      </c>
      <c r="Q42" s="99" t="s">
        <v>104</v>
      </c>
      <c r="R42" s="232" t="s">
        <v>215</v>
      </c>
    </row>
    <row r="43" spans="1:18" ht="20">
      <c r="A43" s="46" t="s">
        <v>175</v>
      </c>
      <c r="B43" s="69" t="str">
        <f t="shared" si="0"/>
        <v>A-</v>
      </c>
      <c r="C43" s="150" t="str">
        <f t="shared" si="1"/>
        <v>A3</v>
      </c>
      <c r="E43" s="136" t="s">
        <v>175</v>
      </c>
      <c r="F43" s="143" t="str">
        <f t="shared" si="2"/>
        <v>A3</v>
      </c>
      <c r="G43" s="211" t="str">
        <f t="shared" si="3"/>
        <v>A-</v>
      </c>
      <c r="H43" s="212" t="str">
        <f t="shared" si="4"/>
        <v>A-</v>
      </c>
      <c r="K43" s="100" t="s">
        <v>102</v>
      </c>
      <c r="L43" s="185" t="s">
        <v>47</v>
      </c>
      <c r="M43" s="185" t="s">
        <v>47</v>
      </c>
      <c r="N43" s="187"/>
      <c r="O43" s="99" t="s">
        <v>105</v>
      </c>
      <c r="P43" s="228" t="s">
        <v>206</v>
      </c>
      <c r="Q43" s="99" t="s">
        <v>105</v>
      </c>
      <c r="R43" s="232" t="s">
        <v>206</v>
      </c>
    </row>
    <row r="44" spans="1:18" ht="20">
      <c r="A44" s="46" t="s">
        <v>101</v>
      </c>
      <c r="B44" s="69" t="str">
        <f t="shared" si="0"/>
        <v>AA-</v>
      </c>
      <c r="C44" s="150" t="str">
        <f t="shared" si="1"/>
        <v>Aa3</v>
      </c>
      <c r="E44" s="136" t="s">
        <v>101</v>
      </c>
      <c r="F44" s="143" t="str">
        <f t="shared" si="2"/>
        <v>Aa3</v>
      </c>
      <c r="G44" s="211" t="str">
        <f t="shared" si="3"/>
        <v>AA-</v>
      </c>
      <c r="H44" s="212" t="e">
        <f t="shared" si="4"/>
        <v>#N/A</v>
      </c>
      <c r="K44" s="206" t="s">
        <v>103</v>
      </c>
      <c r="L44" s="187" t="s">
        <v>80</v>
      </c>
      <c r="M44" s="187" t="s">
        <v>80</v>
      </c>
      <c r="N44" s="185"/>
      <c r="O44" s="99" t="s">
        <v>31</v>
      </c>
      <c r="P44" s="228" t="s">
        <v>197</v>
      </c>
      <c r="Q44" s="99" t="s">
        <v>31</v>
      </c>
      <c r="R44" s="232" t="s">
        <v>197</v>
      </c>
    </row>
    <row r="45" spans="1:18" ht="20">
      <c r="A45" s="46" t="s">
        <v>102</v>
      </c>
      <c r="B45" s="69" t="str">
        <f t="shared" si="0"/>
        <v>AAA</v>
      </c>
      <c r="C45" s="150" t="str">
        <f t="shared" si="1"/>
        <v>Aaa</v>
      </c>
      <c r="E45" s="136" t="s">
        <v>102</v>
      </c>
      <c r="F45" s="143" t="str">
        <f t="shared" si="2"/>
        <v>Aaa</v>
      </c>
      <c r="G45" s="211" t="str">
        <f t="shared" si="3"/>
        <v>AAA</v>
      </c>
      <c r="H45" s="212" t="str">
        <f t="shared" si="4"/>
        <v>AAA</v>
      </c>
      <c r="K45" s="100" t="s">
        <v>104</v>
      </c>
      <c r="L45" s="185" t="s">
        <v>100</v>
      </c>
      <c r="M45" s="185" t="s">
        <v>492</v>
      </c>
      <c r="N45" s="185"/>
      <c r="O45" s="99" t="s">
        <v>106</v>
      </c>
      <c r="P45" s="230" t="s">
        <v>272</v>
      </c>
      <c r="Q45" s="99" t="s">
        <v>106</v>
      </c>
      <c r="R45" s="232" t="s">
        <v>219</v>
      </c>
    </row>
    <row r="46" spans="1:18" ht="20">
      <c r="A46" s="46" t="s">
        <v>103</v>
      </c>
      <c r="B46" s="69" t="str">
        <f t="shared" si="0"/>
        <v>BB</v>
      </c>
      <c r="C46" s="150" t="str">
        <f t="shared" si="1"/>
        <v>Ba2</v>
      </c>
      <c r="E46" s="145" t="s">
        <v>103</v>
      </c>
      <c r="F46" s="143" t="str">
        <f t="shared" si="2"/>
        <v>Ba2</v>
      </c>
      <c r="G46" s="211" t="str">
        <f t="shared" si="3"/>
        <v>BB</v>
      </c>
      <c r="H46" s="212" t="str">
        <f t="shared" si="4"/>
        <v>BB-</v>
      </c>
      <c r="K46" s="100" t="s">
        <v>105</v>
      </c>
      <c r="L46" s="185" t="s">
        <v>100</v>
      </c>
      <c r="M46" s="185" t="s">
        <v>100</v>
      </c>
      <c r="N46" s="185"/>
      <c r="O46" s="99" t="s">
        <v>279</v>
      </c>
      <c r="P46" s="230" t="s">
        <v>612</v>
      </c>
      <c r="Q46" s="99" t="s">
        <v>279</v>
      </c>
      <c r="R46" s="232" t="s">
        <v>614</v>
      </c>
    </row>
    <row r="47" spans="1:18" ht="20">
      <c r="A47" s="46" t="s">
        <v>104</v>
      </c>
      <c r="B47" s="69" t="str">
        <f t="shared" si="0"/>
        <v>B-</v>
      </c>
      <c r="C47" s="150" t="str">
        <f t="shared" si="1"/>
        <v>Caa3</v>
      </c>
      <c r="E47" s="136" t="s">
        <v>104</v>
      </c>
      <c r="F47" s="143" t="s">
        <v>62</v>
      </c>
      <c r="G47" s="211" t="str">
        <f t="shared" si="3"/>
        <v>B-</v>
      </c>
      <c r="H47" s="212" t="str">
        <f t="shared" si="4"/>
        <v>CCC+</v>
      </c>
      <c r="K47" s="100" t="s">
        <v>31</v>
      </c>
      <c r="L47" s="185" t="s">
        <v>78</v>
      </c>
      <c r="M47" s="185" t="s">
        <v>492</v>
      </c>
      <c r="N47" s="185"/>
      <c r="O47" s="99" t="s">
        <v>540</v>
      </c>
      <c r="P47" s="229" t="s">
        <v>201</v>
      </c>
      <c r="Q47" s="99" t="s">
        <v>216</v>
      </c>
      <c r="R47" s="232" t="s">
        <v>272</v>
      </c>
    </row>
    <row r="48" spans="1:18" ht="20">
      <c r="A48" s="46" t="s">
        <v>105</v>
      </c>
      <c r="B48" s="69" t="str">
        <f t="shared" si="0"/>
        <v>B</v>
      </c>
      <c r="C48" s="150" t="str">
        <f t="shared" si="1"/>
        <v>Caa1</v>
      </c>
      <c r="E48" s="136" t="s">
        <v>105</v>
      </c>
      <c r="F48" s="143" t="str">
        <f t="shared" si="2"/>
        <v>Caa1</v>
      </c>
      <c r="G48" s="211" t="str">
        <f t="shared" si="3"/>
        <v>B</v>
      </c>
      <c r="H48" s="212" t="str">
        <f t="shared" si="4"/>
        <v>B</v>
      </c>
      <c r="K48" s="100" t="s">
        <v>106</v>
      </c>
      <c r="L48" s="185" t="s">
        <v>41</v>
      </c>
      <c r="M48" s="185" t="s">
        <v>41</v>
      </c>
      <c r="N48" s="187"/>
      <c r="O48" s="99" t="s">
        <v>216</v>
      </c>
      <c r="P48" s="228" t="s">
        <v>193</v>
      </c>
      <c r="Q48" s="99" t="s">
        <v>176</v>
      </c>
      <c r="R48" s="232" t="s">
        <v>204</v>
      </c>
    </row>
    <row r="49" spans="1:18" ht="20">
      <c r="A49" s="46" t="s">
        <v>31</v>
      </c>
      <c r="B49" s="69" t="str">
        <f t="shared" si="0"/>
        <v>B-</v>
      </c>
      <c r="C49" s="150" t="s">
        <v>272</v>
      </c>
      <c r="E49" s="136" t="s">
        <v>31</v>
      </c>
      <c r="F49" s="143" t="str">
        <f t="shared" si="2"/>
        <v>-</v>
      </c>
      <c r="G49" s="211" t="str">
        <f t="shared" si="3"/>
        <v>B-</v>
      </c>
      <c r="H49" s="212" t="str">
        <f t="shared" si="4"/>
        <v>B-</v>
      </c>
      <c r="K49" s="205" t="s">
        <v>465</v>
      </c>
      <c r="L49" s="187" t="s">
        <v>49</v>
      </c>
      <c r="M49" s="187" t="s">
        <v>49</v>
      </c>
      <c r="N49" s="185"/>
      <c r="O49" s="99" t="s">
        <v>176</v>
      </c>
      <c r="P49" s="229" t="s">
        <v>201</v>
      </c>
      <c r="Q49" s="99" t="s">
        <v>177</v>
      </c>
      <c r="R49" s="232" t="s">
        <v>219</v>
      </c>
    </row>
    <row r="50" spans="1:18" ht="20">
      <c r="A50" s="46" t="s">
        <v>106</v>
      </c>
      <c r="B50" s="69" t="str">
        <f t="shared" si="0"/>
        <v>NR</v>
      </c>
      <c r="C50" s="150" t="str">
        <f t="shared" si="1"/>
        <v>A1</v>
      </c>
      <c r="E50" s="136" t="s">
        <v>106</v>
      </c>
      <c r="F50" s="143" t="str">
        <f t="shared" si="2"/>
        <v>A1</v>
      </c>
      <c r="G50" s="211" t="str">
        <f t="shared" si="3"/>
        <v>NR</v>
      </c>
      <c r="H50" s="212" t="str">
        <f t="shared" si="4"/>
        <v>A+</v>
      </c>
      <c r="K50" s="100" t="s">
        <v>279</v>
      </c>
      <c r="L50" s="185" t="s">
        <v>62</v>
      </c>
      <c r="M50" s="185" t="s">
        <v>58</v>
      </c>
      <c r="N50" s="185"/>
      <c r="O50" s="99" t="s">
        <v>177</v>
      </c>
      <c r="P50" s="229" t="s">
        <v>219</v>
      </c>
      <c r="Q50" s="99" t="s">
        <v>217</v>
      </c>
      <c r="R50" s="232" t="s">
        <v>233</v>
      </c>
    </row>
    <row r="51" spans="1:18" ht="20">
      <c r="A51" s="46" t="s">
        <v>279</v>
      </c>
      <c r="B51" s="69" t="str">
        <f t="shared" si="0"/>
        <v>SD</v>
      </c>
      <c r="C51" s="150" t="str">
        <f t="shared" si="1"/>
        <v>Caa2</v>
      </c>
      <c r="E51" s="136" t="s">
        <v>279</v>
      </c>
      <c r="F51" s="143" t="str">
        <f t="shared" si="2"/>
        <v>Caa2</v>
      </c>
      <c r="G51" s="211" t="str">
        <f t="shared" si="3"/>
        <v>SD</v>
      </c>
      <c r="H51" s="212" t="str">
        <f t="shared" si="4"/>
        <v>RD</v>
      </c>
      <c r="K51" s="100" t="s">
        <v>216</v>
      </c>
      <c r="L51" s="185" t="s">
        <v>48</v>
      </c>
      <c r="M51" s="185" t="s">
        <v>48</v>
      </c>
      <c r="N51" s="185"/>
      <c r="O51" s="99" t="s">
        <v>217</v>
      </c>
      <c r="P51" s="229" t="s">
        <v>611</v>
      </c>
      <c r="Q51" s="99" t="s">
        <v>326</v>
      </c>
      <c r="R51" s="232" t="s">
        <v>232</v>
      </c>
    </row>
    <row r="52" spans="1:18" ht="20">
      <c r="A52" s="46" t="s">
        <v>216</v>
      </c>
      <c r="B52" s="69" t="str">
        <f t="shared" si="0"/>
        <v>B+</v>
      </c>
      <c r="C52" s="150" t="str">
        <f t="shared" si="1"/>
        <v>B1</v>
      </c>
      <c r="E52" s="136" t="s">
        <v>216</v>
      </c>
      <c r="F52" s="143" t="str">
        <f t="shared" si="2"/>
        <v>B1</v>
      </c>
      <c r="G52" s="211" t="str">
        <f t="shared" si="3"/>
        <v>B+</v>
      </c>
      <c r="H52" s="212" t="str">
        <f t="shared" si="4"/>
        <v>NR</v>
      </c>
      <c r="K52" s="100" t="s">
        <v>176</v>
      </c>
      <c r="L52" s="185" t="s">
        <v>44</v>
      </c>
      <c r="M52" s="185" t="s">
        <v>44</v>
      </c>
      <c r="N52" s="185"/>
      <c r="O52" s="99" t="s">
        <v>133</v>
      </c>
      <c r="P52" s="228" t="s">
        <v>212</v>
      </c>
      <c r="Q52" s="99" t="s">
        <v>133</v>
      </c>
      <c r="R52" s="232" t="s">
        <v>212</v>
      </c>
    </row>
    <row r="53" spans="1:18" ht="20">
      <c r="A53" s="46" t="s">
        <v>176</v>
      </c>
      <c r="B53" s="69" t="str">
        <f t="shared" si="0"/>
        <v>AA+</v>
      </c>
      <c r="C53" s="150" t="str">
        <f t="shared" si="1"/>
        <v>Aa1</v>
      </c>
      <c r="E53" s="136" t="s">
        <v>176</v>
      </c>
      <c r="F53" s="143" t="str">
        <f t="shared" si="2"/>
        <v>Aa1</v>
      </c>
      <c r="G53" s="211" t="str">
        <f t="shared" si="3"/>
        <v>AA+</v>
      </c>
      <c r="H53" s="212" t="str">
        <f t="shared" si="4"/>
        <v>AA</v>
      </c>
      <c r="K53" s="100" t="s">
        <v>177</v>
      </c>
      <c r="L53" s="185" t="s">
        <v>46</v>
      </c>
      <c r="M53" s="185" t="s">
        <v>46</v>
      </c>
      <c r="N53" s="185"/>
      <c r="O53" s="99" t="s">
        <v>178</v>
      </c>
      <c r="P53" s="229" t="s">
        <v>200</v>
      </c>
      <c r="Q53" s="99" t="s">
        <v>178</v>
      </c>
      <c r="R53" s="232" t="s">
        <v>200</v>
      </c>
    </row>
    <row r="54" spans="1:18" ht="20">
      <c r="A54" s="46" t="s">
        <v>177</v>
      </c>
      <c r="B54" s="69" t="str">
        <f t="shared" si="0"/>
        <v>A+</v>
      </c>
      <c r="C54" s="150" t="str">
        <f t="shared" si="1"/>
        <v>Aa3</v>
      </c>
      <c r="E54" s="136" t="s">
        <v>177</v>
      </c>
      <c r="F54" s="143" t="str">
        <f t="shared" si="2"/>
        <v>Aa3</v>
      </c>
      <c r="G54" s="211" t="str">
        <f t="shared" si="3"/>
        <v>A+</v>
      </c>
      <c r="H54" s="212" t="str">
        <f t="shared" si="4"/>
        <v>A+</v>
      </c>
      <c r="K54" s="100" t="s">
        <v>217</v>
      </c>
      <c r="L54" s="185" t="s">
        <v>58</v>
      </c>
      <c r="M54" s="185" t="s">
        <v>58</v>
      </c>
      <c r="N54" s="185"/>
      <c r="O54" s="99" t="s">
        <v>218</v>
      </c>
      <c r="P54" s="228" t="s">
        <v>197</v>
      </c>
      <c r="Q54" s="99" t="s">
        <v>218</v>
      </c>
      <c r="R54" s="232" t="s">
        <v>197</v>
      </c>
    </row>
    <row r="55" spans="1:18" ht="20">
      <c r="A55" s="46" t="s">
        <v>217</v>
      </c>
      <c r="B55" s="69" t="str">
        <f t="shared" si="0"/>
        <v>N/A</v>
      </c>
      <c r="C55" s="150" t="str">
        <f t="shared" si="1"/>
        <v>Caa2</v>
      </c>
      <c r="E55" s="136" t="s">
        <v>217</v>
      </c>
      <c r="F55" s="143" t="str">
        <f t="shared" si="2"/>
        <v>Caa2</v>
      </c>
      <c r="G55" s="211" t="str">
        <f t="shared" si="3"/>
        <v>N/A</v>
      </c>
      <c r="H55" s="212" t="str">
        <f t="shared" si="4"/>
        <v>CCC-</v>
      </c>
      <c r="K55" s="100" t="s">
        <v>133</v>
      </c>
      <c r="L55" s="185" t="s">
        <v>80</v>
      </c>
      <c r="M55" s="185" t="s">
        <v>80</v>
      </c>
      <c r="N55" s="185"/>
      <c r="O55" s="99" t="s">
        <v>179</v>
      </c>
      <c r="P55" s="228" t="s">
        <v>203</v>
      </c>
      <c r="Q55" s="99" t="s">
        <v>179</v>
      </c>
      <c r="R55" s="232" t="s">
        <v>203</v>
      </c>
    </row>
    <row r="56" spans="1:18" ht="20">
      <c r="A56" s="46" t="s">
        <v>133</v>
      </c>
      <c r="B56" s="69" t="str">
        <f t="shared" si="0"/>
        <v>BB</v>
      </c>
      <c r="C56" s="150" t="str">
        <f t="shared" si="1"/>
        <v>Ba2</v>
      </c>
      <c r="E56" s="136" t="s">
        <v>133</v>
      </c>
      <c r="F56" s="143" t="str">
        <f t="shared" si="2"/>
        <v>Ba2</v>
      </c>
      <c r="G56" s="211" t="str">
        <f t="shared" si="3"/>
        <v>BB</v>
      </c>
      <c r="H56" s="212" t="str">
        <f t="shared" si="4"/>
        <v>BB</v>
      </c>
      <c r="K56" s="100" t="s">
        <v>178</v>
      </c>
      <c r="L56" s="185" t="s">
        <v>47</v>
      </c>
      <c r="M56" s="185" t="s">
        <v>47</v>
      </c>
      <c r="N56" s="185"/>
      <c r="O56" s="99" t="s">
        <v>107</v>
      </c>
      <c r="P56" s="228" t="s">
        <v>213</v>
      </c>
      <c r="Q56" s="99" t="s">
        <v>392</v>
      </c>
      <c r="R56" s="232" t="s">
        <v>272</v>
      </c>
    </row>
    <row r="57" spans="1:18" ht="20">
      <c r="A57" s="46" t="s">
        <v>178</v>
      </c>
      <c r="B57" s="69" t="str">
        <f t="shared" si="0"/>
        <v>AAA</v>
      </c>
      <c r="C57" s="150" t="str">
        <f t="shared" si="1"/>
        <v>Aaa</v>
      </c>
      <c r="E57" s="136" t="s">
        <v>178</v>
      </c>
      <c r="F57" s="143" t="str">
        <f t="shared" si="2"/>
        <v>Aaa</v>
      </c>
      <c r="G57" s="211" t="str">
        <f t="shared" si="3"/>
        <v>AAA</v>
      </c>
      <c r="H57" s="212" t="str">
        <f t="shared" si="4"/>
        <v>AAA</v>
      </c>
      <c r="K57" s="100" t="s">
        <v>218</v>
      </c>
      <c r="L57" s="185" t="s">
        <v>100</v>
      </c>
      <c r="M57" s="185" t="s">
        <v>100</v>
      </c>
      <c r="N57" s="185"/>
      <c r="O57" s="99" t="s">
        <v>108</v>
      </c>
      <c r="P57" s="228" t="s">
        <v>196</v>
      </c>
      <c r="Q57" s="99" t="s">
        <v>107</v>
      </c>
      <c r="R57" s="232" t="s">
        <v>213</v>
      </c>
    </row>
    <row r="58" spans="1:18" ht="20">
      <c r="A58" s="46" t="s">
        <v>218</v>
      </c>
      <c r="B58" s="69" t="str">
        <f t="shared" si="0"/>
        <v>B-</v>
      </c>
      <c r="C58" s="150" t="str">
        <f t="shared" si="1"/>
        <v>Caa1</v>
      </c>
      <c r="E58" s="136" t="s">
        <v>218</v>
      </c>
      <c r="F58" s="143" t="str">
        <f t="shared" si="2"/>
        <v>Caa1</v>
      </c>
      <c r="G58" s="211" t="str">
        <f t="shared" si="3"/>
        <v>B-</v>
      </c>
      <c r="H58" s="212" t="str">
        <f t="shared" si="4"/>
        <v>B-</v>
      </c>
      <c r="K58" s="100" t="s">
        <v>179</v>
      </c>
      <c r="L58" s="185" t="s">
        <v>124</v>
      </c>
      <c r="M58" s="185" t="s">
        <v>124</v>
      </c>
      <c r="N58" s="185"/>
      <c r="O58" s="99" t="s">
        <v>59</v>
      </c>
      <c r="P58" s="229" t="s">
        <v>201</v>
      </c>
      <c r="Q58" s="99" t="s">
        <v>309</v>
      </c>
      <c r="R58" s="232" t="s">
        <v>272</v>
      </c>
    </row>
    <row r="59" spans="1:18" ht="20">
      <c r="A59" s="46" t="s">
        <v>179</v>
      </c>
      <c r="B59" s="69" t="str">
        <f t="shared" si="0"/>
        <v>BBB</v>
      </c>
      <c r="C59" s="150" t="str">
        <f t="shared" si="1"/>
        <v>Baa3</v>
      </c>
      <c r="E59" s="136" t="s">
        <v>179</v>
      </c>
      <c r="F59" s="143" t="str">
        <f t="shared" si="2"/>
        <v>Baa3</v>
      </c>
      <c r="G59" s="211" t="str">
        <f t="shared" si="3"/>
        <v>BBB</v>
      </c>
      <c r="H59" s="212" t="str">
        <f t="shared" si="4"/>
        <v>BBB</v>
      </c>
      <c r="K59" s="100" t="s">
        <v>107</v>
      </c>
      <c r="L59" s="185" t="s">
        <v>79</v>
      </c>
      <c r="M59" s="185" t="s">
        <v>79</v>
      </c>
      <c r="N59" s="185"/>
      <c r="O59" s="99" t="s">
        <v>109</v>
      </c>
      <c r="P59" s="228" t="s">
        <v>202</v>
      </c>
      <c r="Q59" s="99" t="s">
        <v>108</v>
      </c>
      <c r="R59" s="232" t="s">
        <v>206</v>
      </c>
    </row>
    <row r="60" spans="1:18" ht="20">
      <c r="A60" s="46" t="s">
        <v>107</v>
      </c>
      <c r="B60" s="69" t="str">
        <f t="shared" si="0"/>
        <v>BB+</v>
      </c>
      <c r="C60" s="150" t="str">
        <f t="shared" si="1"/>
        <v>Ba1</v>
      </c>
      <c r="E60" s="136" t="s">
        <v>107</v>
      </c>
      <c r="F60" s="143" t="str">
        <f t="shared" si="2"/>
        <v>Ba1</v>
      </c>
      <c r="G60" s="211" t="str">
        <f t="shared" si="3"/>
        <v>BB+</v>
      </c>
      <c r="H60" s="212" t="str">
        <f t="shared" si="4"/>
        <v>BB+</v>
      </c>
      <c r="K60" s="100" t="s">
        <v>448</v>
      </c>
      <c r="L60" s="185" t="s">
        <v>492</v>
      </c>
      <c r="M60" s="185" t="s">
        <v>492</v>
      </c>
      <c r="N60" s="185"/>
      <c r="O60" s="99" t="s">
        <v>110</v>
      </c>
      <c r="P60" s="229" t="s">
        <v>219</v>
      </c>
      <c r="Q60" s="99" t="s">
        <v>59</v>
      </c>
      <c r="R60" s="232" t="s">
        <v>207</v>
      </c>
    </row>
    <row r="61" spans="1:18" ht="20">
      <c r="A61" s="46" t="s">
        <v>284</v>
      </c>
      <c r="B61" s="69" t="s">
        <v>219</v>
      </c>
      <c r="C61" s="150" t="s">
        <v>272</v>
      </c>
      <c r="E61" s="100" t="s">
        <v>448</v>
      </c>
      <c r="F61" s="143" t="str">
        <f t="shared" si="2"/>
        <v>-</v>
      </c>
      <c r="G61" s="211" t="e">
        <f t="shared" si="3"/>
        <v>#N/A</v>
      </c>
      <c r="H61" s="212" t="e">
        <f t="shared" si="4"/>
        <v>#N/A</v>
      </c>
      <c r="K61" s="100" t="s">
        <v>108</v>
      </c>
      <c r="L61" s="185" t="s">
        <v>48</v>
      </c>
      <c r="M61" s="185" t="s">
        <v>48</v>
      </c>
      <c r="N61" s="185"/>
      <c r="O61" s="99" t="s">
        <v>111</v>
      </c>
      <c r="P61" s="228" t="s">
        <v>203</v>
      </c>
      <c r="Q61" s="99" t="s">
        <v>109</v>
      </c>
      <c r="R61" s="232" t="s">
        <v>203</v>
      </c>
    </row>
    <row r="62" spans="1:18" ht="20">
      <c r="A62" s="46" t="s">
        <v>108</v>
      </c>
      <c r="B62" s="69" t="str">
        <f t="shared" si="0"/>
        <v>BB-</v>
      </c>
      <c r="C62" s="150" t="str">
        <f t="shared" si="1"/>
        <v>B1</v>
      </c>
      <c r="E62" s="136" t="s">
        <v>108</v>
      </c>
      <c r="F62" s="143" t="str">
        <f t="shared" si="2"/>
        <v>B1</v>
      </c>
      <c r="G62" s="211" t="str">
        <f t="shared" si="3"/>
        <v>BB-</v>
      </c>
      <c r="H62" s="212" t="str">
        <f t="shared" si="4"/>
        <v>B</v>
      </c>
      <c r="K62" s="100" t="s">
        <v>475</v>
      </c>
      <c r="L62" s="185" t="s">
        <v>46</v>
      </c>
      <c r="M62" s="185" t="s">
        <v>46</v>
      </c>
      <c r="N62" s="185"/>
      <c r="O62" s="99" t="s">
        <v>112</v>
      </c>
      <c r="P62" s="228" t="s">
        <v>203</v>
      </c>
      <c r="Q62" s="99" t="s">
        <v>110</v>
      </c>
      <c r="R62" s="232" t="s">
        <v>221</v>
      </c>
    </row>
    <row r="63" spans="1:18" ht="20">
      <c r="A63" s="46" t="s">
        <v>59</v>
      </c>
      <c r="B63" s="69" t="str">
        <f t="shared" si="0"/>
        <v>AA+</v>
      </c>
      <c r="C63" s="150" t="str">
        <f t="shared" si="1"/>
        <v>Aa3</v>
      </c>
      <c r="E63" s="136" t="s">
        <v>59</v>
      </c>
      <c r="F63" s="143" t="s">
        <v>46</v>
      </c>
      <c r="G63" s="211" t="str">
        <f t="shared" si="3"/>
        <v>AA+</v>
      </c>
      <c r="H63" s="212" t="str">
        <f t="shared" si="4"/>
        <v>AA-</v>
      </c>
      <c r="K63" s="100" t="s">
        <v>109</v>
      </c>
      <c r="L63" s="185" t="s">
        <v>83</v>
      </c>
      <c r="M63" s="185" t="s">
        <v>83</v>
      </c>
      <c r="N63" s="185"/>
      <c r="O63" s="99" t="s">
        <v>323</v>
      </c>
      <c r="P63" s="228" t="s">
        <v>197</v>
      </c>
      <c r="Q63" s="99" t="s">
        <v>111</v>
      </c>
      <c r="R63" s="232" t="s">
        <v>202</v>
      </c>
    </row>
    <row r="64" spans="1:18" ht="20">
      <c r="A64" s="46" t="s">
        <v>109</v>
      </c>
      <c r="B64" s="69" t="str">
        <f t="shared" si="0"/>
        <v>BBB-</v>
      </c>
      <c r="C64" s="150" t="str">
        <f t="shared" si="1"/>
        <v>Baa2</v>
      </c>
      <c r="E64" s="136" t="s">
        <v>109</v>
      </c>
      <c r="F64" s="143" t="str">
        <f t="shared" si="2"/>
        <v>Baa2</v>
      </c>
      <c r="G64" s="211" t="str">
        <f t="shared" si="3"/>
        <v>BBB-</v>
      </c>
      <c r="H64" s="212" t="str">
        <f t="shared" si="4"/>
        <v>BBB</v>
      </c>
      <c r="K64" s="100" t="s">
        <v>110</v>
      </c>
      <c r="L64" s="185" t="s">
        <v>41</v>
      </c>
      <c r="M64" s="185" t="s">
        <v>41</v>
      </c>
      <c r="N64" s="185"/>
      <c r="O64" s="99" t="s">
        <v>180</v>
      </c>
      <c r="P64" s="229" t="s">
        <v>204</v>
      </c>
      <c r="Q64" s="99" t="s">
        <v>112</v>
      </c>
      <c r="R64" s="232" t="s">
        <v>203</v>
      </c>
    </row>
    <row r="65" spans="1:18" ht="20">
      <c r="A65" s="46" t="s">
        <v>110</v>
      </c>
      <c r="B65" s="69" t="str">
        <f t="shared" si="0"/>
        <v>A+</v>
      </c>
      <c r="C65" s="150" t="str">
        <f t="shared" si="1"/>
        <v>A1</v>
      </c>
      <c r="E65" s="136" t="s">
        <v>110</v>
      </c>
      <c r="F65" s="143" t="str">
        <f t="shared" si="2"/>
        <v>A1</v>
      </c>
      <c r="G65" s="211" t="str">
        <f t="shared" si="3"/>
        <v>A+</v>
      </c>
      <c r="H65" s="212" t="str">
        <f t="shared" si="4"/>
        <v>A</v>
      </c>
      <c r="K65" s="100" t="s">
        <v>111</v>
      </c>
      <c r="L65" s="185" t="s">
        <v>124</v>
      </c>
      <c r="M65" s="185" t="s">
        <v>124</v>
      </c>
      <c r="N65" s="185"/>
      <c r="O65" s="99" t="s">
        <v>113</v>
      </c>
      <c r="P65" s="229" t="s">
        <v>611</v>
      </c>
      <c r="Q65" s="99" t="s">
        <v>320</v>
      </c>
      <c r="R65" s="232" t="s">
        <v>193</v>
      </c>
    </row>
    <row r="66" spans="1:18" ht="20">
      <c r="A66" s="46" t="s">
        <v>111</v>
      </c>
      <c r="B66" s="69" t="str">
        <f t="shared" si="0"/>
        <v>BBB</v>
      </c>
      <c r="C66" s="150" t="str">
        <f t="shared" si="1"/>
        <v>Baa3</v>
      </c>
      <c r="E66" s="136" t="s">
        <v>111</v>
      </c>
      <c r="F66" s="143" t="str">
        <f t="shared" si="2"/>
        <v>Baa3</v>
      </c>
      <c r="G66" s="211" t="str">
        <f t="shared" si="3"/>
        <v>BBB</v>
      </c>
      <c r="H66" s="212" t="str">
        <f t="shared" si="4"/>
        <v>BBB-</v>
      </c>
      <c r="K66" s="100" t="s">
        <v>112</v>
      </c>
      <c r="L66" s="185" t="s">
        <v>83</v>
      </c>
      <c r="M66" s="185" t="s">
        <v>83</v>
      </c>
      <c r="N66" s="185"/>
      <c r="O66" s="99" t="s">
        <v>114</v>
      </c>
      <c r="P66" s="229" t="s">
        <v>221</v>
      </c>
      <c r="Q66" s="99" t="s">
        <v>323</v>
      </c>
      <c r="R66" s="232" t="s">
        <v>197</v>
      </c>
    </row>
    <row r="67" spans="1:18" ht="20">
      <c r="A67" s="46" t="s">
        <v>112</v>
      </c>
      <c r="B67" s="69" t="str">
        <f t="shared" ref="B67:B102" si="5">G67</f>
        <v>BBB</v>
      </c>
      <c r="C67" s="150" t="str">
        <f t="shared" ref="C67:C102" si="6">F67</f>
        <v>Baa2</v>
      </c>
      <c r="E67" s="136" t="s">
        <v>112</v>
      </c>
      <c r="F67" s="143" t="str">
        <f t="shared" ref="F67:F131" si="7">VLOOKUP(E67,$K$2:$M$154,3,FALSE)</f>
        <v>Baa2</v>
      </c>
      <c r="G67" s="211" t="str">
        <f t="shared" ref="G67:G130" si="8">VLOOKUP(E67,$O$2:$P$155,2,FALSE)</f>
        <v>BBB</v>
      </c>
      <c r="H67" s="212" t="str">
        <f t="shared" ref="H67:H130" si="9">VLOOKUP(E67,$Q$2:$R$161,2,FALSE)</f>
        <v>BBB</v>
      </c>
      <c r="K67" s="100" t="s">
        <v>323</v>
      </c>
      <c r="L67" s="185" t="s">
        <v>100</v>
      </c>
      <c r="M67" s="185" t="s">
        <v>100</v>
      </c>
      <c r="N67" s="185"/>
      <c r="O67" s="99" t="s">
        <v>144</v>
      </c>
      <c r="P67" s="228" t="s">
        <v>199</v>
      </c>
      <c r="Q67" s="99" t="s">
        <v>180</v>
      </c>
      <c r="R67" s="232" t="s">
        <v>204</v>
      </c>
    </row>
    <row r="68" spans="1:18" ht="20">
      <c r="A68" s="46" t="s">
        <v>323</v>
      </c>
      <c r="B68" s="69" t="str">
        <f t="shared" si="5"/>
        <v>B-</v>
      </c>
      <c r="C68" s="150" t="str">
        <f t="shared" si="6"/>
        <v>Caa1</v>
      </c>
      <c r="E68" s="136" t="s">
        <v>323</v>
      </c>
      <c r="F68" s="143" t="str">
        <f t="shared" si="7"/>
        <v>Caa1</v>
      </c>
      <c r="G68" s="211" t="str">
        <f t="shared" si="8"/>
        <v>B-</v>
      </c>
      <c r="H68" s="212" t="str">
        <f t="shared" si="9"/>
        <v>B-</v>
      </c>
      <c r="K68" s="100" t="s">
        <v>180</v>
      </c>
      <c r="L68" s="185" t="s">
        <v>46</v>
      </c>
      <c r="M68" s="185" t="s">
        <v>46</v>
      </c>
      <c r="N68" s="185"/>
      <c r="O68" s="99" t="s">
        <v>437</v>
      </c>
      <c r="P68" s="228" t="s">
        <v>212</v>
      </c>
      <c r="Q68" s="99" t="s">
        <v>114</v>
      </c>
      <c r="R68" s="232" t="s">
        <v>221</v>
      </c>
    </row>
    <row r="69" spans="1:18" ht="20">
      <c r="A69" s="46" t="s">
        <v>180</v>
      </c>
      <c r="B69" s="69" t="str">
        <f t="shared" si="5"/>
        <v>AA</v>
      </c>
      <c r="C69" s="150" t="str">
        <f t="shared" si="6"/>
        <v>Aa3</v>
      </c>
      <c r="E69" s="136" t="s">
        <v>180</v>
      </c>
      <c r="F69" s="143" t="str">
        <f t="shared" si="7"/>
        <v>Aa3</v>
      </c>
      <c r="G69" s="211" t="str">
        <f t="shared" si="8"/>
        <v>AA</v>
      </c>
      <c r="H69" s="212" t="str">
        <f t="shared" si="9"/>
        <v>AA</v>
      </c>
      <c r="K69" s="100" t="s">
        <v>113</v>
      </c>
      <c r="L69" s="185" t="s">
        <v>46</v>
      </c>
      <c r="M69" s="185" t="s">
        <v>46</v>
      </c>
      <c r="N69" s="185"/>
      <c r="O69" s="99" t="s">
        <v>115</v>
      </c>
      <c r="P69" s="228" t="s">
        <v>212</v>
      </c>
      <c r="Q69" s="99" t="s">
        <v>144</v>
      </c>
      <c r="R69" s="232" t="s">
        <v>199</v>
      </c>
    </row>
    <row r="70" spans="1:18" ht="20">
      <c r="A70" s="46" t="s">
        <v>113</v>
      </c>
      <c r="B70" s="69" t="str">
        <f t="shared" si="5"/>
        <v>NR</v>
      </c>
      <c r="C70" s="150" t="str">
        <f t="shared" si="6"/>
        <v>Aa3</v>
      </c>
      <c r="E70" s="136" t="s">
        <v>113</v>
      </c>
      <c r="F70" s="143" t="str">
        <f t="shared" si="7"/>
        <v>Aa3</v>
      </c>
      <c r="G70" s="211" t="s">
        <v>272</v>
      </c>
      <c r="H70" s="212" t="e">
        <f t="shared" si="9"/>
        <v>#N/A</v>
      </c>
      <c r="K70" s="100" t="s">
        <v>114</v>
      </c>
      <c r="L70" s="185" t="s">
        <v>82</v>
      </c>
      <c r="M70" s="185" t="s">
        <v>82</v>
      </c>
      <c r="N70" s="185"/>
      <c r="O70" s="99" t="s">
        <v>116</v>
      </c>
      <c r="P70" s="229" t="s">
        <v>219</v>
      </c>
      <c r="Q70" s="99" t="s">
        <v>437</v>
      </c>
      <c r="R70" s="232" t="s">
        <v>212</v>
      </c>
    </row>
    <row r="71" spans="1:18" ht="20">
      <c r="A71" s="46" t="s">
        <v>114</v>
      </c>
      <c r="B71" s="69" t="str">
        <f t="shared" si="5"/>
        <v>A</v>
      </c>
      <c r="C71" s="150" t="str">
        <f t="shared" si="6"/>
        <v>Baa1</v>
      </c>
      <c r="E71" s="136" t="s">
        <v>114</v>
      </c>
      <c r="F71" s="143" t="str">
        <f t="shared" si="7"/>
        <v>Baa1</v>
      </c>
      <c r="G71" s="211" t="str">
        <f t="shared" si="8"/>
        <v>A</v>
      </c>
      <c r="H71" s="212" t="str">
        <f t="shared" si="9"/>
        <v>A</v>
      </c>
      <c r="K71" s="100" t="s">
        <v>144</v>
      </c>
      <c r="L71" s="185" t="s">
        <v>83</v>
      </c>
      <c r="M71" s="185" t="s">
        <v>83</v>
      </c>
      <c r="N71" s="185"/>
      <c r="O71" s="99" t="s">
        <v>117</v>
      </c>
      <c r="P71" s="228" t="s">
        <v>196</v>
      </c>
      <c r="Q71" s="99" t="s">
        <v>115</v>
      </c>
      <c r="R71" s="232" t="s">
        <v>196</v>
      </c>
    </row>
    <row r="72" spans="1:18" ht="20">
      <c r="A72" s="46" t="s">
        <v>144</v>
      </c>
      <c r="B72" s="69" t="str">
        <f t="shared" si="5"/>
        <v>BBB+</v>
      </c>
      <c r="C72" s="150" t="str">
        <f t="shared" si="6"/>
        <v>Baa2</v>
      </c>
      <c r="E72" s="136" t="s">
        <v>144</v>
      </c>
      <c r="F72" s="143" t="str">
        <f t="shared" si="7"/>
        <v>Baa2</v>
      </c>
      <c r="G72" s="211" t="str">
        <f t="shared" si="8"/>
        <v>BBB+</v>
      </c>
      <c r="H72" s="212" t="str">
        <f t="shared" si="9"/>
        <v>BBB+</v>
      </c>
      <c r="K72" s="100" t="s">
        <v>115</v>
      </c>
      <c r="L72" s="185" t="s">
        <v>81</v>
      </c>
      <c r="M72" s="185" t="s">
        <v>81</v>
      </c>
      <c r="N72" s="185"/>
      <c r="O72" s="99" t="s">
        <v>118</v>
      </c>
      <c r="P72" s="228" t="s">
        <v>202</v>
      </c>
      <c r="Q72" s="99" t="s">
        <v>116</v>
      </c>
      <c r="R72" s="232" t="s">
        <v>221</v>
      </c>
    </row>
    <row r="73" spans="1:18" ht="20">
      <c r="A73" s="46" t="s">
        <v>115</v>
      </c>
      <c r="B73" s="69" t="str">
        <f t="shared" si="5"/>
        <v>BB</v>
      </c>
      <c r="C73" s="150" t="str">
        <f t="shared" si="6"/>
        <v>Ba3</v>
      </c>
      <c r="E73" s="136" t="s">
        <v>115</v>
      </c>
      <c r="F73" s="143" t="str">
        <f t="shared" si="7"/>
        <v>Ba3</v>
      </c>
      <c r="G73" s="211" t="str">
        <f t="shared" si="8"/>
        <v>BB</v>
      </c>
      <c r="H73" s="212" t="str">
        <f t="shared" si="9"/>
        <v>BB-</v>
      </c>
      <c r="K73" s="100" t="s">
        <v>116</v>
      </c>
      <c r="L73" s="185" t="s">
        <v>41</v>
      </c>
      <c r="M73" s="185" t="s">
        <v>41</v>
      </c>
      <c r="N73" s="185"/>
      <c r="O73" s="99" t="s">
        <v>181</v>
      </c>
      <c r="P73" s="228" t="s">
        <v>206</v>
      </c>
      <c r="Q73" s="99" t="s">
        <v>117</v>
      </c>
      <c r="R73" s="232" t="s">
        <v>196</v>
      </c>
    </row>
    <row r="74" spans="1:18" ht="20">
      <c r="A74" s="46" t="s">
        <v>116</v>
      </c>
      <c r="B74" s="69" t="str">
        <f t="shared" si="5"/>
        <v>A+</v>
      </c>
      <c r="C74" s="150" t="str">
        <f t="shared" si="6"/>
        <v>A1</v>
      </c>
      <c r="E74" s="136" t="s">
        <v>116</v>
      </c>
      <c r="F74" s="143" t="str">
        <f t="shared" si="7"/>
        <v>A1</v>
      </c>
      <c r="G74" s="211" t="str">
        <f t="shared" si="8"/>
        <v>A+</v>
      </c>
      <c r="H74" s="212" t="str">
        <f t="shared" si="9"/>
        <v>A</v>
      </c>
      <c r="K74" s="100" t="s">
        <v>431</v>
      </c>
      <c r="L74" s="185" t="s">
        <v>492</v>
      </c>
      <c r="M74" s="185" t="s">
        <v>492</v>
      </c>
      <c r="N74" s="185"/>
      <c r="O74" s="99" t="s">
        <v>120</v>
      </c>
      <c r="P74" s="229" t="s">
        <v>207</v>
      </c>
      <c r="Q74" s="99" t="s">
        <v>118</v>
      </c>
      <c r="R74" s="232" t="s">
        <v>203</v>
      </c>
    </row>
    <row r="75" spans="1:18" ht="20">
      <c r="A75" s="46" t="s">
        <v>285</v>
      </c>
      <c r="B75" s="69" t="s">
        <v>207</v>
      </c>
      <c r="C75" s="150" t="s">
        <v>272</v>
      </c>
      <c r="E75" s="136" t="s">
        <v>431</v>
      </c>
      <c r="F75" s="143" t="str">
        <f t="shared" si="7"/>
        <v>-</v>
      </c>
      <c r="G75" s="211" t="e">
        <f t="shared" si="8"/>
        <v>#N/A</v>
      </c>
      <c r="H75" s="212" t="e">
        <f t="shared" si="9"/>
        <v>#N/A</v>
      </c>
      <c r="K75" s="100" t="s">
        <v>117</v>
      </c>
      <c r="L75" s="185" t="s">
        <v>81</v>
      </c>
      <c r="M75" s="185" t="s">
        <v>81</v>
      </c>
      <c r="N75" s="186"/>
      <c r="O75" s="99" t="s">
        <v>342</v>
      </c>
      <c r="P75" s="228" t="s">
        <v>193</v>
      </c>
      <c r="Q75" s="99" t="s">
        <v>181</v>
      </c>
      <c r="R75" s="232" t="s">
        <v>197</v>
      </c>
    </row>
    <row r="76" spans="1:18" ht="20">
      <c r="A76" s="46" t="s">
        <v>117</v>
      </c>
      <c r="B76" s="69" t="str">
        <f t="shared" si="5"/>
        <v>BB-</v>
      </c>
      <c r="C76" s="150" t="str">
        <f t="shared" si="6"/>
        <v>Ba3</v>
      </c>
      <c r="E76" s="136" t="s">
        <v>117</v>
      </c>
      <c r="F76" s="143" t="str">
        <f t="shared" si="7"/>
        <v>Ba3</v>
      </c>
      <c r="G76" s="211" t="str">
        <f t="shared" si="8"/>
        <v>BB-</v>
      </c>
      <c r="H76" s="212" t="str">
        <f t="shared" si="9"/>
        <v>BB-</v>
      </c>
      <c r="K76" s="203" t="s">
        <v>118</v>
      </c>
      <c r="L76" s="186" t="s">
        <v>82</v>
      </c>
      <c r="M76" s="186" t="s">
        <v>82</v>
      </c>
      <c r="N76" s="185"/>
      <c r="O76" s="99" t="s">
        <v>334</v>
      </c>
      <c r="P76" s="230" t="s">
        <v>215</v>
      </c>
      <c r="Q76" s="99" t="s">
        <v>120</v>
      </c>
      <c r="R76" s="232" t="s">
        <v>207</v>
      </c>
    </row>
    <row r="77" spans="1:18" ht="20">
      <c r="A77" s="46" t="s">
        <v>118</v>
      </c>
      <c r="B77" s="69" t="str">
        <f t="shared" si="5"/>
        <v>BBB-</v>
      </c>
      <c r="C77" s="150" t="str">
        <f t="shared" si="6"/>
        <v>Baa1</v>
      </c>
      <c r="E77" s="144" t="s">
        <v>118</v>
      </c>
      <c r="F77" s="143" t="str">
        <f t="shared" si="7"/>
        <v>Baa1</v>
      </c>
      <c r="G77" s="211" t="str">
        <f t="shared" si="8"/>
        <v>BBB-</v>
      </c>
      <c r="H77" s="212" t="str">
        <f t="shared" si="9"/>
        <v>BBB</v>
      </c>
      <c r="K77" s="100" t="s">
        <v>181</v>
      </c>
      <c r="L77" s="185" t="s">
        <v>78</v>
      </c>
      <c r="M77" s="185" t="s">
        <v>78</v>
      </c>
      <c r="N77" s="185"/>
      <c r="O77" s="99" t="s">
        <v>121</v>
      </c>
      <c r="P77" s="229" t="s">
        <v>221</v>
      </c>
      <c r="Q77" s="99" t="s">
        <v>342</v>
      </c>
      <c r="R77" s="232" t="s">
        <v>206</v>
      </c>
    </row>
    <row r="78" spans="1:18" ht="20">
      <c r="A78" s="46" t="s">
        <v>181</v>
      </c>
      <c r="B78" s="69" t="str">
        <f t="shared" si="5"/>
        <v>B</v>
      </c>
      <c r="C78" s="150" t="str">
        <f t="shared" si="6"/>
        <v>B3</v>
      </c>
      <c r="E78" s="136" t="s">
        <v>181</v>
      </c>
      <c r="F78" s="143" t="str">
        <f t="shared" si="7"/>
        <v>B3</v>
      </c>
      <c r="G78" s="211" t="str">
        <f t="shared" si="8"/>
        <v>B</v>
      </c>
      <c r="H78" s="212" t="str">
        <f t="shared" si="9"/>
        <v>B-</v>
      </c>
      <c r="K78" s="100" t="s">
        <v>119</v>
      </c>
      <c r="L78" s="185" t="s">
        <v>45</v>
      </c>
      <c r="M78" s="185" t="s">
        <v>45</v>
      </c>
      <c r="N78" s="185"/>
      <c r="O78" s="99" t="s">
        <v>122</v>
      </c>
      <c r="P78" s="230" t="s">
        <v>612</v>
      </c>
      <c r="Q78" s="99" t="s">
        <v>334</v>
      </c>
      <c r="R78" s="232" t="s">
        <v>215</v>
      </c>
    </row>
    <row r="79" spans="1:18" ht="20">
      <c r="A79" s="46" t="s">
        <v>119</v>
      </c>
      <c r="B79" s="69" t="str">
        <f t="shared" si="5"/>
        <v>AA</v>
      </c>
      <c r="C79" s="150" t="str">
        <f t="shared" si="6"/>
        <v>Aa2</v>
      </c>
      <c r="E79" s="136" t="s">
        <v>119</v>
      </c>
      <c r="F79" s="143" t="str">
        <f t="shared" si="7"/>
        <v>Aa2</v>
      </c>
      <c r="G79" s="211" t="s">
        <v>204</v>
      </c>
      <c r="H79" s="212" t="e">
        <f t="shared" si="9"/>
        <v>#N/A</v>
      </c>
      <c r="K79" s="100" t="s">
        <v>120</v>
      </c>
      <c r="L79" s="185" t="s">
        <v>41</v>
      </c>
      <c r="M79" s="185" t="s">
        <v>41</v>
      </c>
      <c r="N79" s="185"/>
      <c r="O79" s="99" t="s">
        <v>383</v>
      </c>
      <c r="P79" s="230"/>
      <c r="Q79" s="99" t="s">
        <v>121</v>
      </c>
      <c r="R79" s="232" t="s">
        <v>195</v>
      </c>
    </row>
    <row r="80" spans="1:18" ht="20">
      <c r="A80" s="46" t="s">
        <v>120</v>
      </c>
      <c r="B80" s="69" t="str">
        <f t="shared" si="5"/>
        <v>AA-</v>
      </c>
      <c r="C80" s="150" t="str">
        <f t="shared" si="6"/>
        <v>A1</v>
      </c>
      <c r="E80" s="136" t="s">
        <v>120</v>
      </c>
      <c r="F80" s="143" t="str">
        <f t="shared" si="7"/>
        <v>A1</v>
      </c>
      <c r="G80" s="211" t="str">
        <f t="shared" si="8"/>
        <v>AA-</v>
      </c>
      <c r="H80" s="212" t="str">
        <f t="shared" si="9"/>
        <v>AA-</v>
      </c>
      <c r="K80" s="100" t="s">
        <v>343</v>
      </c>
      <c r="L80" s="185" t="s">
        <v>78</v>
      </c>
      <c r="M80" s="185" t="s">
        <v>78</v>
      </c>
      <c r="N80" s="185"/>
      <c r="O80" s="99" t="s">
        <v>220</v>
      </c>
      <c r="P80" s="229" t="s">
        <v>200</v>
      </c>
      <c r="Q80" s="99" t="s">
        <v>122</v>
      </c>
      <c r="R80" s="232" t="s">
        <v>272</v>
      </c>
    </row>
    <row r="81" spans="1:18" ht="20">
      <c r="A81" t="s">
        <v>342</v>
      </c>
      <c r="B81" s="69" t="e">
        <f t="shared" si="5"/>
        <v>#N/A</v>
      </c>
      <c r="C81" s="150" t="str">
        <f t="shared" si="6"/>
        <v>B3</v>
      </c>
      <c r="E81" s="136" t="s">
        <v>343</v>
      </c>
      <c r="F81" s="143" t="str">
        <f t="shared" si="7"/>
        <v>B3</v>
      </c>
      <c r="G81" s="211" t="e">
        <f t="shared" si="8"/>
        <v>#N/A</v>
      </c>
      <c r="H81" s="212" t="e">
        <f t="shared" si="9"/>
        <v>#N/A</v>
      </c>
      <c r="K81" s="100" t="s">
        <v>334</v>
      </c>
      <c r="L81" s="185" t="s">
        <v>58</v>
      </c>
      <c r="M81" s="185" t="s">
        <v>58</v>
      </c>
      <c r="N81" s="185"/>
      <c r="O81" s="99" t="s">
        <v>13</v>
      </c>
      <c r="P81" s="229" t="s">
        <v>221</v>
      </c>
      <c r="Q81" s="99" t="s">
        <v>383</v>
      </c>
      <c r="R81" s="232" t="s">
        <v>206</v>
      </c>
    </row>
    <row r="82" spans="1:18" ht="20">
      <c r="A82" t="str">
        <f>E82</f>
        <v>Laos</v>
      </c>
      <c r="B82" s="69" t="str">
        <f t="shared" si="5"/>
        <v>CCC+</v>
      </c>
      <c r="C82" s="150" t="str">
        <f t="shared" si="6"/>
        <v>Caa2</v>
      </c>
      <c r="E82" s="136" t="s">
        <v>334</v>
      </c>
      <c r="F82" s="143" t="str">
        <f t="shared" si="7"/>
        <v>Caa2</v>
      </c>
      <c r="G82" s="211" t="str">
        <f t="shared" si="8"/>
        <v>CCC+</v>
      </c>
      <c r="H82" s="212" t="str">
        <f t="shared" si="9"/>
        <v>CCC+</v>
      </c>
      <c r="K82" s="100" t="s">
        <v>121</v>
      </c>
      <c r="L82" s="185" t="s">
        <v>43</v>
      </c>
      <c r="M82" s="185" t="s">
        <v>43</v>
      </c>
      <c r="N82" s="185"/>
      <c r="O82" s="99" t="s">
        <v>182</v>
      </c>
      <c r="P82" s="229" t="s">
        <v>200</v>
      </c>
      <c r="Q82" s="99" t="s">
        <v>314</v>
      </c>
      <c r="R82" s="232" t="s">
        <v>206</v>
      </c>
    </row>
    <row r="83" spans="1:18" ht="20">
      <c r="A83" s="46" t="s">
        <v>121</v>
      </c>
      <c r="B83" s="69" t="str">
        <f t="shared" si="5"/>
        <v>A</v>
      </c>
      <c r="C83" s="150" t="str">
        <f t="shared" si="6"/>
        <v>A3</v>
      </c>
      <c r="E83" s="136" t="s">
        <v>121</v>
      </c>
      <c r="F83" s="143" t="str">
        <f t="shared" si="7"/>
        <v>A3</v>
      </c>
      <c r="G83" s="211" t="str">
        <f t="shared" si="8"/>
        <v>A</v>
      </c>
      <c r="H83" s="212" t="str">
        <f t="shared" si="9"/>
        <v>A-</v>
      </c>
      <c r="K83" s="100" t="s">
        <v>122</v>
      </c>
      <c r="L83" s="185" t="s">
        <v>137</v>
      </c>
      <c r="M83" s="185" t="s">
        <v>137</v>
      </c>
      <c r="N83" s="185"/>
      <c r="O83" s="99" t="s">
        <v>344</v>
      </c>
      <c r="P83" s="230"/>
      <c r="Q83" s="99" t="s">
        <v>220</v>
      </c>
      <c r="R83" s="232" t="s">
        <v>272</v>
      </c>
    </row>
    <row r="84" spans="1:18" ht="20">
      <c r="A84" s="46" t="s">
        <v>122</v>
      </c>
      <c r="B84" s="69" t="str">
        <f t="shared" si="5"/>
        <v>SD</v>
      </c>
      <c r="C84" s="150" t="str">
        <f t="shared" si="6"/>
        <v>C</v>
      </c>
      <c r="E84" s="136" t="s">
        <v>122</v>
      </c>
      <c r="F84" s="143" t="str">
        <f t="shared" si="7"/>
        <v>C</v>
      </c>
      <c r="G84" s="211" t="str">
        <f t="shared" si="8"/>
        <v>SD</v>
      </c>
      <c r="H84" s="212" t="str">
        <f t="shared" si="9"/>
        <v>NR</v>
      </c>
      <c r="K84" s="100" t="s">
        <v>220</v>
      </c>
      <c r="L84" s="185" t="s">
        <v>492</v>
      </c>
      <c r="M84" s="185" t="s">
        <v>492</v>
      </c>
      <c r="N84" s="185"/>
      <c r="O84" s="99" t="s">
        <v>145</v>
      </c>
      <c r="P84" s="228" t="s">
        <v>196</v>
      </c>
      <c r="Q84" s="99" t="s">
        <v>13</v>
      </c>
      <c r="R84" s="232" t="s">
        <v>221</v>
      </c>
    </row>
    <row r="85" spans="1:18" ht="20">
      <c r="A85" s="46" t="s">
        <v>220</v>
      </c>
      <c r="B85" s="69" t="str">
        <f t="shared" si="5"/>
        <v>AAA</v>
      </c>
      <c r="C85" s="150" t="str">
        <f t="shared" si="6"/>
        <v>NR</v>
      </c>
      <c r="E85" s="136" t="s">
        <v>220</v>
      </c>
      <c r="F85" s="143" t="s">
        <v>272</v>
      </c>
      <c r="G85" s="211" t="str">
        <f t="shared" si="8"/>
        <v>AAA</v>
      </c>
      <c r="H85" s="212" t="str">
        <f t="shared" si="9"/>
        <v>NR</v>
      </c>
      <c r="K85" s="100" t="s">
        <v>13</v>
      </c>
      <c r="L85" s="185" t="s">
        <v>42</v>
      </c>
      <c r="M85" s="185" t="s">
        <v>42</v>
      </c>
      <c r="N85" s="185"/>
      <c r="O85" s="99" t="s">
        <v>328</v>
      </c>
      <c r="P85" s="228" t="s">
        <v>197</v>
      </c>
      <c r="Q85" s="99" t="s">
        <v>182</v>
      </c>
      <c r="R85" s="232" t="s">
        <v>200</v>
      </c>
    </row>
    <row r="86" spans="1:18" ht="20">
      <c r="A86" s="46" t="s">
        <v>13</v>
      </c>
      <c r="B86" s="69" t="str">
        <f t="shared" si="5"/>
        <v>A</v>
      </c>
      <c r="C86" s="150" t="str">
        <f t="shared" si="6"/>
        <v>A2</v>
      </c>
      <c r="E86" s="136" t="s">
        <v>13</v>
      </c>
      <c r="F86" s="143" t="str">
        <f t="shared" si="7"/>
        <v>A2</v>
      </c>
      <c r="G86" s="211" t="str">
        <f t="shared" si="8"/>
        <v>A</v>
      </c>
      <c r="H86" s="212" t="str">
        <f t="shared" si="9"/>
        <v>A</v>
      </c>
      <c r="K86" s="100" t="s">
        <v>182</v>
      </c>
      <c r="L86" s="185" t="s">
        <v>47</v>
      </c>
      <c r="M86" s="185" t="s">
        <v>47</v>
      </c>
      <c r="N86" s="185"/>
      <c r="O86" s="99" t="s">
        <v>14</v>
      </c>
      <c r="P86" s="229" t="s">
        <v>195</v>
      </c>
      <c r="Q86" s="99" t="s">
        <v>32</v>
      </c>
      <c r="R86" s="232" t="s">
        <v>204</v>
      </c>
    </row>
    <row r="87" spans="1:18" ht="20">
      <c r="A87" s="46" t="s">
        <v>182</v>
      </c>
      <c r="B87" s="69" t="str">
        <f t="shared" si="5"/>
        <v>AAA</v>
      </c>
      <c r="C87" s="150" t="str">
        <f t="shared" si="6"/>
        <v>Aaa</v>
      </c>
      <c r="E87" s="136" t="s">
        <v>182</v>
      </c>
      <c r="F87" s="143" t="str">
        <f t="shared" si="7"/>
        <v>Aaa</v>
      </c>
      <c r="G87" s="211" t="str">
        <f t="shared" si="8"/>
        <v>AAA</v>
      </c>
      <c r="H87" s="212" t="str">
        <f t="shared" si="9"/>
        <v>AAA</v>
      </c>
      <c r="K87" s="100" t="s">
        <v>476</v>
      </c>
      <c r="L87" s="185" t="s">
        <v>46</v>
      </c>
      <c r="M87" s="185" t="s">
        <v>46</v>
      </c>
      <c r="N87" s="185"/>
      <c r="O87" s="99" t="s">
        <v>379</v>
      </c>
      <c r="P87" s="230"/>
      <c r="Q87" s="99" t="s">
        <v>328</v>
      </c>
      <c r="R87" s="232" t="s">
        <v>272</v>
      </c>
    </row>
    <row r="88" spans="1:18" ht="20">
      <c r="A88" s="46" t="s">
        <v>32</v>
      </c>
      <c r="B88" s="69" t="str">
        <f t="shared" si="5"/>
        <v>NR</v>
      </c>
      <c r="C88" s="150" t="str">
        <f t="shared" si="6"/>
        <v>Aa3</v>
      </c>
      <c r="E88" s="136" t="s">
        <v>32</v>
      </c>
      <c r="F88" s="143" t="s">
        <v>46</v>
      </c>
      <c r="G88" s="211" t="s">
        <v>272</v>
      </c>
      <c r="H88" s="212" t="str">
        <f t="shared" si="9"/>
        <v>AA</v>
      </c>
      <c r="K88" s="100" t="s">
        <v>14</v>
      </c>
      <c r="L88" s="185" t="s">
        <v>43</v>
      </c>
      <c r="M88" s="185" t="s">
        <v>43</v>
      </c>
      <c r="N88" s="185"/>
      <c r="O88" s="99" t="s">
        <v>317</v>
      </c>
      <c r="P88" s="230"/>
      <c r="Q88" s="99" t="s">
        <v>319</v>
      </c>
      <c r="R88" s="232" t="s">
        <v>197</v>
      </c>
    </row>
    <row r="89" spans="1:18" ht="20">
      <c r="A89" s="46" t="s">
        <v>145</v>
      </c>
      <c r="B89" s="69" t="str">
        <f t="shared" si="5"/>
        <v>BB-</v>
      </c>
      <c r="C89" s="150" t="str">
        <f t="shared" si="6"/>
        <v>NR</v>
      </c>
      <c r="E89" s="148" t="s">
        <v>145</v>
      </c>
      <c r="F89" s="143" t="s">
        <v>272</v>
      </c>
      <c r="G89" s="211" t="str">
        <f t="shared" si="8"/>
        <v>BB-</v>
      </c>
      <c r="H89" s="212" t="e">
        <f t="shared" si="9"/>
        <v>#N/A</v>
      </c>
      <c r="K89" s="100" t="s">
        <v>379</v>
      </c>
      <c r="L89" s="185" t="s">
        <v>58</v>
      </c>
      <c r="M89" s="185" t="s">
        <v>58</v>
      </c>
      <c r="N89" s="185"/>
      <c r="O89" s="99" t="s">
        <v>183</v>
      </c>
      <c r="P89" s="229" t="s">
        <v>195</v>
      </c>
      <c r="Q89" s="99" t="s">
        <v>14</v>
      </c>
      <c r="R89" s="232" t="s">
        <v>199</v>
      </c>
    </row>
    <row r="90" spans="1:18" ht="20">
      <c r="A90" s="46" t="s">
        <v>14</v>
      </c>
      <c r="B90" s="69" t="str">
        <f t="shared" si="5"/>
        <v>A-</v>
      </c>
      <c r="C90" s="150" t="str">
        <f t="shared" si="6"/>
        <v>A3</v>
      </c>
      <c r="E90" s="136" t="s">
        <v>14</v>
      </c>
      <c r="F90" s="143" t="str">
        <f t="shared" si="7"/>
        <v>A3</v>
      </c>
      <c r="G90" s="211" t="str">
        <f t="shared" si="8"/>
        <v>A-</v>
      </c>
      <c r="H90" s="212" t="str">
        <f t="shared" si="9"/>
        <v>BBB+</v>
      </c>
      <c r="K90" s="100" t="s">
        <v>317</v>
      </c>
      <c r="L90" s="185" t="s">
        <v>58</v>
      </c>
      <c r="M90" s="185" t="s">
        <v>58</v>
      </c>
      <c r="N90" s="185"/>
      <c r="O90" s="99" t="s">
        <v>15</v>
      </c>
      <c r="P90" s="228" t="s">
        <v>202</v>
      </c>
      <c r="Q90" s="99" t="s">
        <v>379</v>
      </c>
      <c r="R90" s="232" t="s">
        <v>235</v>
      </c>
    </row>
    <row r="91" spans="1:18" ht="20">
      <c r="A91" s="46" t="s">
        <v>379</v>
      </c>
      <c r="B91" s="69" t="str">
        <f t="shared" si="5"/>
        <v>NR</v>
      </c>
      <c r="C91" s="150" t="str">
        <f t="shared" si="6"/>
        <v>Caa2</v>
      </c>
      <c r="E91" s="136" t="s">
        <v>379</v>
      </c>
      <c r="F91" s="143" t="str">
        <f t="shared" si="7"/>
        <v>Caa2</v>
      </c>
      <c r="G91" s="211" t="s">
        <v>272</v>
      </c>
      <c r="H91" s="212" t="str">
        <f t="shared" si="9"/>
        <v>CC</v>
      </c>
      <c r="K91" s="100" t="s">
        <v>183</v>
      </c>
      <c r="L91" s="185" t="s">
        <v>42</v>
      </c>
      <c r="M91" s="185" t="s">
        <v>42</v>
      </c>
      <c r="N91" s="185"/>
      <c r="O91" s="99" t="s">
        <v>16</v>
      </c>
      <c r="P91" s="228" t="s">
        <v>203</v>
      </c>
      <c r="Q91" s="99" t="s">
        <v>317</v>
      </c>
      <c r="R91" s="232" t="s">
        <v>197</v>
      </c>
    </row>
    <row r="92" spans="1:18" ht="20">
      <c r="A92" s="133" t="s">
        <v>317</v>
      </c>
      <c r="B92" s="69" t="str">
        <f t="shared" si="5"/>
        <v>NR</v>
      </c>
      <c r="C92" s="150" t="str">
        <f t="shared" si="6"/>
        <v>Caa2</v>
      </c>
      <c r="E92" s="136" t="s">
        <v>317</v>
      </c>
      <c r="F92" s="143" t="str">
        <f t="shared" si="7"/>
        <v>Caa2</v>
      </c>
      <c r="G92" s="211" t="s">
        <v>272</v>
      </c>
      <c r="H92" s="212" t="str">
        <f t="shared" si="9"/>
        <v>B-</v>
      </c>
      <c r="K92" s="100" t="s">
        <v>15</v>
      </c>
      <c r="L92" s="185" t="s">
        <v>124</v>
      </c>
      <c r="M92" s="185" t="s">
        <v>124</v>
      </c>
      <c r="N92" s="185"/>
      <c r="O92" s="99" t="s">
        <v>17</v>
      </c>
      <c r="P92" s="228" t="s">
        <v>196</v>
      </c>
      <c r="Q92" s="99" t="s">
        <v>183</v>
      </c>
      <c r="R92" s="232" t="s">
        <v>219</v>
      </c>
    </row>
    <row r="93" spans="1:18" ht="20">
      <c r="A93" s="46" t="s">
        <v>183</v>
      </c>
      <c r="B93" s="69" t="str">
        <f t="shared" si="5"/>
        <v>A-</v>
      </c>
      <c r="C93" s="150" t="str">
        <f t="shared" si="6"/>
        <v>A2</v>
      </c>
      <c r="E93" s="136" t="s">
        <v>183</v>
      </c>
      <c r="F93" s="143" t="str">
        <f t="shared" si="7"/>
        <v>A2</v>
      </c>
      <c r="G93" s="211" t="str">
        <f t="shared" si="8"/>
        <v>A-</v>
      </c>
      <c r="H93" s="212" t="str">
        <f t="shared" si="9"/>
        <v>A+</v>
      </c>
      <c r="K93" s="100" t="s">
        <v>16</v>
      </c>
      <c r="L93" s="185" t="s">
        <v>83</v>
      </c>
      <c r="M93" s="185" t="s">
        <v>83</v>
      </c>
      <c r="N93" s="185"/>
      <c r="O93" s="99" t="s">
        <v>63</v>
      </c>
      <c r="P93" s="228" t="s">
        <v>196</v>
      </c>
      <c r="Q93" s="99" t="s">
        <v>15</v>
      </c>
      <c r="R93" s="232" t="s">
        <v>272</v>
      </c>
    </row>
    <row r="94" spans="1:18" ht="20">
      <c r="A94" s="46" t="s">
        <v>15</v>
      </c>
      <c r="B94" s="69" t="str">
        <f t="shared" si="5"/>
        <v>BBB-</v>
      </c>
      <c r="C94" s="150" t="str">
        <f t="shared" si="6"/>
        <v>Baa3</v>
      </c>
      <c r="E94" s="136" t="s">
        <v>15</v>
      </c>
      <c r="F94" s="143" t="str">
        <f t="shared" si="7"/>
        <v>Baa3</v>
      </c>
      <c r="G94" s="211" t="str">
        <f t="shared" si="8"/>
        <v>BBB-</v>
      </c>
      <c r="H94" s="212" t="str">
        <f t="shared" si="9"/>
        <v>NR</v>
      </c>
      <c r="K94" s="100" t="s">
        <v>17</v>
      </c>
      <c r="L94" s="185" t="s">
        <v>78</v>
      </c>
      <c r="M94" s="185" t="s">
        <v>78</v>
      </c>
      <c r="N94" s="185"/>
      <c r="O94" s="99" t="s">
        <v>8</v>
      </c>
      <c r="P94" s="228" t="s">
        <v>193</v>
      </c>
      <c r="Q94" s="99" t="s">
        <v>16</v>
      </c>
      <c r="R94" s="232" t="s">
        <v>202</v>
      </c>
    </row>
    <row r="95" spans="1:18" ht="20">
      <c r="A95" s="46" t="s">
        <v>16</v>
      </c>
      <c r="B95" s="69" t="str">
        <f t="shared" si="5"/>
        <v>BBB</v>
      </c>
      <c r="C95" s="150" t="str">
        <f t="shared" si="6"/>
        <v>Baa2</v>
      </c>
      <c r="E95" s="136" t="s">
        <v>16</v>
      </c>
      <c r="F95" s="143" t="str">
        <f t="shared" si="7"/>
        <v>Baa2</v>
      </c>
      <c r="G95" s="211" t="str">
        <f t="shared" si="8"/>
        <v>BBB</v>
      </c>
      <c r="H95" s="212" t="str">
        <f t="shared" si="9"/>
        <v>BBB-</v>
      </c>
      <c r="K95" s="100" t="s">
        <v>63</v>
      </c>
      <c r="L95" s="185" t="s">
        <v>48</v>
      </c>
      <c r="M95" s="185" t="s">
        <v>48</v>
      </c>
      <c r="N95" s="185"/>
      <c r="O95" s="99" t="s">
        <v>222</v>
      </c>
      <c r="P95" s="228" t="s">
        <v>202</v>
      </c>
      <c r="Q95" s="99" t="s">
        <v>17</v>
      </c>
      <c r="R95" s="232" t="s">
        <v>193</v>
      </c>
    </row>
    <row r="96" spans="1:18" ht="20">
      <c r="A96" s="46" t="s">
        <v>17</v>
      </c>
      <c r="B96" s="69" t="str">
        <f t="shared" si="5"/>
        <v>BB-</v>
      </c>
      <c r="C96" s="150" t="str">
        <f t="shared" si="6"/>
        <v>B3</v>
      </c>
      <c r="E96" s="136" t="s">
        <v>17</v>
      </c>
      <c r="F96" s="143" t="str">
        <f t="shared" si="7"/>
        <v>B3</v>
      </c>
      <c r="G96" s="211" t="str">
        <f t="shared" si="8"/>
        <v>BB-</v>
      </c>
      <c r="H96" s="212" t="str">
        <f t="shared" si="9"/>
        <v>B+</v>
      </c>
      <c r="K96" s="100" t="s">
        <v>8</v>
      </c>
      <c r="L96" s="185" t="s">
        <v>81</v>
      </c>
      <c r="M96" s="185" t="s">
        <v>492</v>
      </c>
      <c r="N96" s="185"/>
      <c r="O96" s="99" t="s">
        <v>18</v>
      </c>
      <c r="P96" s="228" t="s">
        <v>202</v>
      </c>
      <c r="Q96" s="99" t="s">
        <v>63</v>
      </c>
      <c r="R96" s="232" t="s">
        <v>193</v>
      </c>
    </row>
    <row r="97" spans="1:18" ht="20">
      <c r="A97" s="46" t="s">
        <v>63</v>
      </c>
      <c r="B97" s="69" t="str">
        <f t="shared" si="5"/>
        <v>BB-</v>
      </c>
      <c r="C97" s="150" t="str">
        <f t="shared" si="6"/>
        <v>B1</v>
      </c>
      <c r="E97" s="136" t="s">
        <v>63</v>
      </c>
      <c r="F97" s="143" t="str">
        <f t="shared" si="7"/>
        <v>B1</v>
      </c>
      <c r="G97" s="211" t="str">
        <f t="shared" si="8"/>
        <v>BB-</v>
      </c>
      <c r="H97" s="212" t="str">
        <f t="shared" si="9"/>
        <v>B+</v>
      </c>
      <c r="K97" s="100" t="s">
        <v>18</v>
      </c>
      <c r="L97" s="185" t="s">
        <v>79</v>
      </c>
      <c r="M97" s="185" t="s">
        <v>79</v>
      </c>
      <c r="N97" s="185"/>
      <c r="O97" s="99" t="s">
        <v>223</v>
      </c>
      <c r="P97" s="230" t="s">
        <v>215</v>
      </c>
      <c r="Q97" s="99" t="s">
        <v>8</v>
      </c>
      <c r="R97" s="232" t="s">
        <v>272</v>
      </c>
    </row>
    <row r="98" spans="1:18" ht="20">
      <c r="A98" s="46" t="s">
        <v>8</v>
      </c>
      <c r="B98" s="69" t="str">
        <f t="shared" si="5"/>
        <v>B+</v>
      </c>
      <c r="C98" s="150" t="str">
        <f t="shared" si="6"/>
        <v>B1</v>
      </c>
      <c r="E98" s="136" t="s">
        <v>8</v>
      </c>
      <c r="F98" s="143" t="s">
        <v>48</v>
      </c>
      <c r="G98" s="211" t="str">
        <f t="shared" si="8"/>
        <v>B+</v>
      </c>
      <c r="H98" s="212" t="str">
        <f t="shared" si="9"/>
        <v>NR</v>
      </c>
      <c r="K98" s="204" t="s">
        <v>223</v>
      </c>
      <c r="L98" s="185" t="s">
        <v>58</v>
      </c>
      <c r="M98" s="185" t="s">
        <v>62</v>
      </c>
      <c r="N98" s="185"/>
      <c r="O98" s="99" t="s">
        <v>136</v>
      </c>
      <c r="P98" s="230"/>
      <c r="Q98" s="99" t="s">
        <v>222</v>
      </c>
      <c r="R98" s="232" t="s">
        <v>272</v>
      </c>
    </row>
    <row r="99" spans="1:18" ht="20">
      <c r="A99" s="46" t="s">
        <v>222</v>
      </c>
      <c r="B99" s="69" t="str">
        <f t="shared" si="5"/>
        <v>BBB-</v>
      </c>
      <c r="C99" s="150" t="str">
        <f t="shared" si="6"/>
        <v>NR</v>
      </c>
      <c r="E99" s="148" t="s">
        <v>222</v>
      </c>
      <c r="F99" s="143" t="s">
        <v>272</v>
      </c>
      <c r="G99" s="211" t="str">
        <f t="shared" si="8"/>
        <v>BBB-</v>
      </c>
      <c r="H99" s="212" t="str">
        <f t="shared" si="9"/>
        <v>NR</v>
      </c>
      <c r="K99" s="100" t="s">
        <v>136</v>
      </c>
      <c r="L99" s="185" t="s">
        <v>48</v>
      </c>
      <c r="M99" s="185" t="s">
        <v>48</v>
      </c>
      <c r="N99" s="185"/>
      <c r="O99" s="99" t="s">
        <v>184</v>
      </c>
      <c r="P99" s="229" t="s">
        <v>200</v>
      </c>
      <c r="Q99" s="99" t="s">
        <v>18</v>
      </c>
      <c r="R99" s="232" t="s">
        <v>213</v>
      </c>
    </row>
    <row r="100" spans="1:18" ht="20">
      <c r="A100" s="46" t="s">
        <v>18</v>
      </c>
      <c r="B100" s="69" t="str">
        <f t="shared" si="5"/>
        <v>BBB-</v>
      </c>
      <c r="C100" s="150" t="str">
        <f t="shared" si="6"/>
        <v>Ba1</v>
      </c>
      <c r="E100" s="136" t="s">
        <v>18</v>
      </c>
      <c r="F100" s="143" t="str">
        <f t="shared" si="7"/>
        <v>Ba1</v>
      </c>
      <c r="G100" s="211" t="str">
        <f t="shared" si="8"/>
        <v>BBB-</v>
      </c>
      <c r="H100" s="212" t="str">
        <f t="shared" si="9"/>
        <v>BB+</v>
      </c>
      <c r="K100" s="100" t="s">
        <v>184</v>
      </c>
      <c r="L100" s="185" t="s">
        <v>47</v>
      </c>
      <c r="M100" s="185" t="s">
        <v>47</v>
      </c>
      <c r="N100" s="185"/>
      <c r="O100" s="99" t="s">
        <v>21</v>
      </c>
      <c r="P100" s="229" t="s">
        <v>201</v>
      </c>
      <c r="Q100" s="99" t="s">
        <v>223</v>
      </c>
      <c r="R100" s="232" t="s">
        <v>232</v>
      </c>
    </row>
    <row r="101" spans="1:18" ht="20">
      <c r="A101" s="46" t="s">
        <v>223</v>
      </c>
      <c r="B101" s="69" t="str">
        <f t="shared" si="5"/>
        <v>CCC+</v>
      </c>
      <c r="C101" s="150" t="str">
        <f t="shared" si="6"/>
        <v>Caa3</v>
      </c>
      <c r="E101" s="145" t="s">
        <v>223</v>
      </c>
      <c r="F101" s="143" t="str">
        <f t="shared" si="7"/>
        <v>Caa3</v>
      </c>
      <c r="G101" s="211" t="str">
        <f t="shared" si="8"/>
        <v>CCC+</v>
      </c>
      <c r="H101" s="212" t="str">
        <f t="shared" si="9"/>
        <v>CCC</v>
      </c>
      <c r="K101" s="100" t="s">
        <v>21</v>
      </c>
      <c r="L101" s="185" t="s">
        <v>47</v>
      </c>
      <c r="M101" s="185" t="s">
        <v>47</v>
      </c>
      <c r="N101" s="185"/>
      <c r="O101" s="99" t="s">
        <v>22</v>
      </c>
      <c r="P101" s="228" t="s">
        <v>193</v>
      </c>
      <c r="Q101" s="99" t="s">
        <v>136</v>
      </c>
      <c r="R101" s="232" t="s">
        <v>196</v>
      </c>
    </row>
    <row r="102" spans="1:18" ht="20">
      <c r="A102" s="46" t="s">
        <v>136</v>
      </c>
      <c r="B102" s="69">
        <f t="shared" si="5"/>
        <v>0</v>
      </c>
      <c r="C102" s="150" t="str">
        <f t="shared" si="6"/>
        <v>B1</v>
      </c>
      <c r="E102" s="136" t="s">
        <v>136</v>
      </c>
      <c r="F102" s="143" t="str">
        <f t="shared" si="7"/>
        <v>B1</v>
      </c>
      <c r="G102" s="211">
        <f t="shared" si="8"/>
        <v>0</v>
      </c>
      <c r="H102" s="212" t="str">
        <f t="shared" si="9"/>
        <v>BB-</v>
      </c>
      <c r="K102" s="100" t="s">
        <v>22</v>
      </c>
      <c r="L102" s="185" t="s">
        <v>49</v>
      </c>
      <c r="M102" s="185" t="s">
        <v>49</v>
      </c>
      <c r="N102" s="185"/>
      <c r="O102" s="99" t="s">
        <v>313</v>
      </c>
      <c r="P102" s="230"/>
      <c r="Q102" s="99" t="s">
        <v>369</v>
      </c>
      <c r="R102" s="232" t="s">
        <v>196</v>
      </c>
    </row>
    <row r="103" spans="1:18" ht="20">
      <c r="A103" s="46" t="s">
        <v>369</v>
      </c>
      <c r="B103" s="69" t="str">
        <f t="shared" ref="B103" si="10">G103</f>
        <v>NR</v>
      </c>
      <c r="C103" s="150" t="str">
        <f t="shared" ref="C103" si="11">F103</f>
        <v>NR</v>
      </c>
      <c r="E103" s="136" t="s">
        <v>369</v>
      </c>
      <c r="F103" s="143" t="s">
        <v>272</v>
      </c>
      <c r="G103" s="211" t="s">
        <v>272</v>
      </c>
      <c r="H103" s="212" t="str">
        <f t="shared" si="9"/>
        <v>BB-</v>
      </c>
      <c r="K103" s="100" t="s">
        <v>313</v>
      </c>
      <c r="L103" s="185" t="s">
        <v>62</v>
      </c>
      <c r="M103" s="185" t="s">
        <v>62</v>
      </c>
      <c r="N103" s="185"/>
      <c r="O103" s="99" t="s">
        <v>185</v>
      </c>
      <c r="P103" s="228" t="s">
        <v>197</v>
      </c>
      <c r="Q103" s="99" t="s">
        <v>184</v>
      </c>
      <c r="R103" s="232" t="s">
        <v>200</v>
      </c>
    </row>
    <row r="104" spans="1:18" ht="20">
      <c r="A104" s="46" t="s">
        <v>184</v>
      </c>
      <c r="B104" s="69" t="str">
        <f t="shared" ref="B104:B119" si="12">G104</f>
        <v>AAA</v>
      </c>
      <c r="C104" s="150" t="str">
        <f t="shared" ref="C104:C119" si="13">F104</f>
        <v>Aaa</v>
      </c>
      <c r="E104" s="136" t="s">
        <v>184</v>
      </c>
      <c r="F104" s="143" t="str">
        <f t="shared" si="7"/>
        <v>Aaa</v>
      </c>
      <c r="G104" s="211" t="str">
        <f t="shared" si="8"/>
        <v>AAA</v>
      </c>
      <c r="H104" s="212" t="str">
        <f t="shared" si="9"/>
        <v>AAA</v>
      </c>
      <c r="K104" s="100" t="s">
        <v>185</v>
      </c>
      <c r="L104" s="185" t="s">
        <v>78</v>
      </c>
      <c r="M104" s="185" t="s">
        <v>78</v>
      </c>
      <c r="N104" s="185"/>
      <c r="O104" s="99" t="s">
        <v>23</v>
      </c>
      <c r="P104" s="229" t="s">
        <v>200</v>
      </c>
      <c r="Q104" s="99" t="s">
        <v>21</v>
      </c>
      <c r="R104" s="232" t="s">
        <v>201</v>
      </c>
    </row>
    <row r="105" spans="1:18" ht="20">
      <c r="A105" s="46" t="s">
        <v>21</v>
      </c>
      <c r="B105" s="69" t="str">
        <f t="shared" si="12"/>
        <v>AA+</v>
      </c>
      <c r="C105" s="150" t="str">
        <f t="shared" si="13"/>
        <v>Aaa</v>
      </c>
      <c r="E105" s="136" t="s">
        <v>21</v>
      </c>
      <c r="F105" s="143" t="str">
        <f t="shared" si="7"/>
        <v>Aaa</v>
      </c>
      <c r="G105" s="211" t="str">
        <f t="shared" si="8"/>
        <v>AA+</v>
      </c>
      <c r="H105" s="212" t="str">
        <f t="shared" si="9"/>
        <v>AA+</v>
      </c>
      <c r="K105" s="100" t="s">
        <v>23</v>
      </c>
      <c r="L105" s="185" t="s">
        <v>47</v>
      </c>
      <c r="M105" s="185" t="s">
        <v>47</v>
      </c>
      <c r="N105" s="185"/>
      <c r="O105" s="99" t="s">
        <v>24</v>
      </c>
      <c r="P105" s="228" t="s">
        <v>202</v>
      </c>
      <c r="Q105" s="99" t="s">
        <v>22</v>
      </c>
      <c r="R105" s="232" t="s">
        <v>206</v>
      </c>
    </row>
    <row r="106" spans="1:18" ht="20">
      <c r="A106" s="46" t="s">
        <v>22</v>
      </c>
      <c r="B106" s="69" t="str">
        <f t="shared" si="12"/>
        <v>B+</v>
      </c>
      <c r="C106" s="150" t="str">
        <f t="shared" si="13"/>
        <v>B2</v>
      </c>
      <c r="E106" s="136" t="s">
        <v>22</v>
      </c>
      <c r="F106" s="143" t="str">
        <f t="shared" si="7"/>
        <v>B2</v>
      </c>
      <c r="G106" s="211" t="str">
        <f t="shared" si="8"/>
        <v>B+</v>
      </c>
      <c r="H106" s="212" t="str">
        <f t="shared" si="9"/>
        <v>B</v>
      </c>
      <c r="K106" s="100" t="s">
        <v>24</v>
      </c>
      <c r="L106" s="185" t="s">
        <v>124</v>
      </c>
      <c r="M106" s="185" t="s">
        <v>124</v>
      </c>
      <c r="N106" s="185"/>
      <c r="O106" s="99" t="s">
        <v>25</v>
      </c>
      <c r="P106" s="228" t="s">
        <v>197</v>
      </c>
      <c r="Q106" s="99" t="s">
        <v>313</v>
      </c>
      <c r="R106" s="232" t="s">
        <v>272</v>
      </c>
    </row>
    <row r="107" spans="1:18" ht="20">
      <c r="A107" s="100" t="s">
        <v>313</v>
      </c>
      <c r="B107" s="69">
        <f t="shared" si="12"/>
        <v>0</v>
      </c>
      <c r="C107" s="150" t="str">
        <f t="shared" si="13"/>
        <v>Caa3</v>
      </c>
      <c r="E107" s="136" t="s">
        <v>313</v>
      </c>
      <c r="F107" s="143" t="str">
        <f t="shared" si="7"/>
        <v>Caa3</v>
      </c>
      <c r="G107" s="211">
        <f t="shared" si="8"/>
        <v>0</v>
      </c>
      <c r="H107" s="212" t="str">
        <f t="shared" si="9"/>
        <v>NR</v>
      </c>
      <c r="K107" s="100" t="s">
        <v>25</v>
      </c>
      <c r="L107" s="185" t="s">
        <v>100</v>
      </c>
      <c r="M107" s="185" t="s">
        <v>100</v>
      </c>
      <c r="N107" s="185"/>
      <c r="O107" s="99" t="s">
        <v>26</v>
      </c>
      <c r="P107" s="228" t="s">
        <v>202</v>
      </c>
      <c r="Q107" s="99" t="s">
        <v>185</v>
      </c>
      <c r="R107" s="232" t="s">
        <v>206</v>
      </c>
    </row>
    <row r="108" spans="1:18" ht="20">
      <c r="A108" s="46" t="s">
        <v>185</v>
      </c>
      <c r="B108" s="69" t="str">
        <f t="shared" si="12"/>
        <v>B-</v>
      </c>
      <c r="C108" s="150" t="str">
        <f t="shared" si="13"/>
        <v>B3</v>
      </c>
      <c r="E108" s="136" t="s">
        <v>185</v>
      </c>
      <c r="F108" s="143" t="str">
        <f t="shared" si="7"/>
        <v>B3</v>
      </c>
      <c r="G108" s="211" t="str">
        <f t="shared" si="8"/>
        <v>B-</v>
      </c>
      <c r="H108" s="212" t="str">
        <f t="shared" si="9"/>
        <v>B</v>
      </c>
      <c r="K108" s="100" t="s">
        <v>26</v>
      </c>
      <c r="L108" s="185" t="s">
        <v>124</v>
      </c>
      <c r="M108" s="185" t="s">
        <v>492</v>
      </c>
      <c r="N108" s="185"/>
      <c r="O108" s="99" t="s">
        <v>9</v>
      </c>
      <c r="P108" s="228" t="s">
        <v>197</v>
      </c>
      <c r="Q108" s="99" t="s">
        <v>452</v>
      </c>
      <c r="R108" s="232" t="s">
        <v>213</v>
      </c>
    </row>
    <row r="109" spans="1:18" ht="20">
      <c r="A109" s="46" t="s">
        <v>23</v>
      </c>
      <c r="B109" s="69" t="str">
        <f t="shared" si="12"/>
        <v>AAA</v>
      </c>
      <c r="C109" s="150" t="str">
        <f t="shared" si="13"/>
        <v>Aaa</v>
      </c>
      <c r="E109" s="136" t="s">
        <v>23</v>
      </c>
      <c r="F109" s="143" t="str">
        <f t="shared" si="7"/>
        <v>Aaa</v>
      </c>
      <c r="G109" s="211" t="str">
        <f t="shared" si="8"/>
        <v>AAA</v>
      </c>
      <c r="H109" s="212" t="str">
        <f t="shared" si="9"/>
        <v>AAA</v>
      </c>
      <c r="K109" s="100" t="s">
        <v>477</v>
      </c>
      <c r="L109" s="185" t="s">
        <v>492</v>
      </c>
      <c r="M109" s="185" t="s">
        <v>492</v>
      </c>
      <c r="N109" s="186"/>
      <c r="O109" s="99" t="s">
        <v>27</v>
      </c>
      <c r="P109" s="228" t="s">
        <v>202</v>
      </c>
      <c r="Q109" s="99" t="s">
        <v>23</v>
      </c>
      <c r="R109" s="232" t="s">
        <v>200</v>
      </c>
    </row>
    <row r="110" spans="1:18" ht="20">
      <c r="A110" s="46" t="s">
        <v>24</v>
      </c>
      <c r="B110" s="69" t="str">
        <f t="shared" si="12"/>
        <v>BBB-</v>
      </c>
      <c r="C110" s="150" t="str">
        <f t="shared" si="13"/>
        <v>Baa3</v>
      </c>
      <c r="E110" s="136" t="s">
        <v>24</v>
      </c>
      <c r="F110" s="143" t="str">
        <f t="shared" si="7"/>
        <v>Baa3</v>
      </c>
      <c r="G110" s="211" t="str">
        <f t="shared" si="8"/>
        <v>BBB-</v>
      </c>
      <c r="H110" s="212" t="str">
        <f t="shared" si="9"/>
        <v>BBB-</v>
      </c>
      <c r="K110" s="203" t="s">
        <v>9</v>
      </c>
      <c r="L110" s="186" t="s">
        <v>49</v>
      </c>
      <c r="M110" s="186" t="s">
        <v>49</v>
      </c>
      <c r="N110" s="185"/>
      <c r="O110" s="99" t="s">
        <v>28</v>
      </c>
      <c r="P110" s="228" t="s">
        <v>202</v>
      </c>
      <c r="Q110" s="99" t="s">
        <v>24</v>
      </c>
      <c r="R110" s="232" t="s">
        <v>202</v>
      </c>
    </row>
    <row r="111" spans="1:18" ht="20">
      <c r="A111" s="46" t="s">
        <v>25</v>
      </c>
      <c r="B111" s="69" t="str">
        <f t="shared" si="12"/>
        <v>B-</v>
      </c>
      <c r="C111" s="150" t="str">
        <f t="shared" si="13"/>
        <v>Caa1</v>
      </c>
      <c r="E111" s="136" t="s">
        <v>25</v>
      </c>
      <c r="F111" s="143" t="str">
        <f t="shared" si="7"/>
        <v>Caa1</v>
      </c>
      <c r="G111" s="211" t="str">
        <f t="shared" si="8"/>
        <v>B-</v>
      </c>
      <c r="H111" s="212" t="str">
        <f t="shared" si="9"/>
        <v>B-</v>
      </c>
      <c r="K111" s="100" t="s">
        <v>27</v>
      </c>
      <c r="L111" s="185" t="s">
        <v>124</v>
      </c>
      <c r="M111" s="185" t="s">
        <v>124</v>
      </c>
      <c r="N111" s="185"/>
      <c r="O111" s="99" t="s">
        <v>29</v>
      </c>
      <c r="P111" s="228" t="s">
        <v>199</v>
      </c>
      <c r="Q111" s="99" t="s">
        <v>25</v>
      </c>
      <c r="R111" s="232" t="s">
        <v>197</v>
      </c>
    </row>
    <row r="112" spans="1:18" ht="20">
      <c r="A112" s="46" t="s">
        <v>26</v>
      </c>
      <c r="B112" s="69" t="str">
        <f t="shared" si="12"/>
        <v>BBB-</v>
      </c>
      <c r="C112" s="150" t="str">
        <f t="shared" si="13"/>
        <v>Baa3</v>
      </c>
      <c r="E112" s="136" t="s">
        <v>26</v>
      </c>
      <c r="F112" s="143" t="s">
        <v>124</v>
      </c>
      <c r="G112" s="211" t="str">
        <f t="shared" si="8"/>
        <v>BBB-</v>
      </c>
      <c r="H112" s="212" t="str">
        <f t="shared" si="9"/>
        <v>BB+</v>
      </c>
      <c r="K112" s="100" t="s">
        <v>28</v>
      </c>
      <c r="L112" s="185" t="s">
        <v>82</v>
      </c>
      <c r="M112" s="185" t="s">
        <v>82</v>
      </c>
      <c r="N112" s="185"/>
      <c r="O112" s="99" t="s">
        <v>30</v>
      </c>
      <c r="P112" s="229" t="s">
        <v>195</v>
      </c>
      <c r="Q112" s="99" t="s">
        <v>26</v>
      </c>
      <c r="R112" s="232" t="s">
        <v>213</v>
      </c>
    </row>
    <row r="113" spans="1:18" ht="20">
      <c r="A113" s="46" t="s">
        <v>9</v>
      </c>
      <c r="B113" s="69" t="str">
        <f t="shared" si="12"/>
        <v>B-</v>
      </c>
      <c r="C113" s="150" t="str">
        <f t="shared" si="13"/>
        <v>B2</v>
      </c>
      <c r="E113" s="144" t="s">
        <v>9</v>
      </c>
      <c r="F113" s="143" t="str">
        <f t="shared" si="7"/>
        <v>B2</v>
      </c>
      <c r="G113" s="211" t="str">
        <f t="shared" si="8"/>
        <v>B-</v>
      </c>
      <c r="H113" s="212" t="str">
        <f t="shared" si="9"/>
        <v>B+</v>
      </c>
      <c r="K113" s="100" t="s">
        <v>29</v>
      </c>
      <c r="L113" s="185" t="s">
        <v>83</v>
      </c>
      <c r="M113" s="185" t="s">
        <v>83</v>
      </c>
      <c r="N113" s="185"/>
      <c r="O113" s="99" t="s">
        <v>186</v>
      </c>
      <c r="P113" s="229" t="s">
        <v>219</v>
      </c>
      <c r="Q113" s="99" t="s">
        <v>9</v>
      </c>
      <c r="R113" s="232" t="s">
        <v>193</v>
      </c>
    </row>
    <row r="114" spans="1:18" ht="20">
      <c r="A114" s="46" t="s">
        <v>27</v>
      </c>
      <c r="B114" s="69" t="str">
        <f t="shared" si="12"/>
        <v>BBB-</v>
      </c>
      <c r="C114" s="150" t="str">
        <f t="shared" si="13"/>
        <v>Baa3</v>
      </c>
      <c r="E114" s="136" t="s">
        <v>27</v>
      </c>
      <c r="F114" s="143" t="str">
        <f t="shared" si="7"/>
        <v>Baa3</v>
      </c>
      <c r="G114" s="211" t="str">
        <f t="shared" si="8"/>
        <v>BBB-</v>
      </c>
      <c r="H114" s="212" t="str">
        <f t="shared" si="9"/>
        <v>BB+</v>
      </c>
      <c r="K114" s="100" t="s">
        <v>30</v>
      </c>
      <c r="L114" s="185" t="s">
        <v>42</v>
      </c>
      <c r="M114" s="185" t="s">
        <v>42</v>
      </c>
      <c r="N114" s="185"/>
      <c r="O114" s="99" t="s">
        <v>74</v>
      </c>
      <c r="P114" s="229" t="s">
        <v>204</v>
      </c>
      <c r="Q114" s="99" t="s">
        <v>27</v>
      </c>
      <c r="R114" s="232" t="s">
        <v>213</v>
      </c>
    </row>
    <row r="115" spans="1:18" ht="20">
      <c r="A115" s="46" t="s">
        <v>28</v>
      </c>
      <c r="B115" s="69" t="str">
        <f t="shared" si="12"/>
        <v>BBB-</v>
      </c>
      <c r="C115" s="150" t="str">
        <f t="shared" si="13"/>
        <v>Baa1</v>
      </c>
      <c r="E115" s="136" t="s">
        <v>28</v>
      </c>
      <c r="F115" s="143" t="str">
        <f t="shared" si="7"/>
        <v>Baa1</v>
      </c>
      <c r="G115" s="211" t="str">
        <f t="shared" si="8"/>
        <v>BBB-</v>
      </c>
      <c r="H115" s="212" t="str">
        <f t="shared" si="9"/>
        <v>BBB</v>
      </c>
      <c r="K115" s="100" t="s">
        <v>186</v>
      </c>
      <c r="L115" s="185" t="s">
        <v>43</v>
      </c>
      <c r="M115" s="185" t="s">
        <v>43</v>
      </c>
      <c r="N115" s="185"/>
      <c r="O115" s="99" t="s">
        <v>269</v>
      </c>
      <c r="P115" s="230" t="s">
        <v>215</v>
      </c>
      <c r="Q115" s="99" t="s">
        <v>28</v>
      </c>
      <c r="R115" s="232" t="s">
        <v>203</v>
      </c>
    </row>
    <row r="116" spans="1:18" ht="20">
      <c r="A116" s="46" t="s">
        <v>29</v>
      </c>
      <c r="B116" s="69" t="str">
        <f t="shared" si="12"/>
        <v>BBB+</v>
      </c>
      <c r="C116" s="150" t="str">
        <f t="shared" si="13"/>
        <v>Baa2</v>
      </c>
      <c r="E116" s="136" t="s">
        <v>29</v>
      </c>
      <c r="F116" s="143" t="str">
        <f t="shared" si="7"/>
        <v>Baa2</v>
      </c>
      <c r="G116" s="211" t="str">
        <f t="shared" si="8"/>
        <v>BBB+</v>
      </c>
      <c r="H116" s="212" t="str">
        <f t="shared" si="9"/>
        <v>BBB</v>
      </c>
      <c r="K116" s="100" t="s">
        <v>74</v>
      </c>
      <c r="L116" s="185" t="s">
        <v>45</v>
      </c>
      <c r="M116" s="185" t="s">
        <v>45</v>
      </c>
      <c r="N116" s="185"/>
      <c r="O116" s="99" t="s">
        <v>0</v>
      </c>
      <c r="P116" s="228" t="s">
        <v>202</v>
      </c>
      <c r="Q116" s="99" t="s">
        <v>29</v>
      </c>
      <c r="R116" s="232" t="s">
        <v>203</v>
      </c>
    </row>
    <row r="117" spans="1:18" ht="20">
      <c r="A117" s="46" t="s">
        <v>30</v>
      </c>
      <c r="B117" s="69" t="str">
        <f t="shared" si="12"/>
        <v>A-</v>
      </c>
      <c r="C117" s="150" t="str">
        <f t="shared" si="13"/>
        <v>A2</v>
      </c>
      <c r="E117" s="136" t="s">
        <v>30</v>
      </c>
      <c r="F117" s="143" t="str">
        <f t="shared" si="7"/>
        <v>A2</v>
      </c>
      <c r="G117" s="211" t="str">
        <f t="shared" si="8"/>
        <v>A-</v>
      </c>
      <c r="H117" s="212" t="str">
        <f t="shared" si="9"/>
        <v>A-</v>
      </c>
      <c r="K117" s="100" t="s">
        <v>269</v>
      </c>
      <c r="L117" s="185" t="s">
        <v>58</v>
      </c>
      <c r="M117" s="185" t="s">
        <v>58</v>
      </c>
      <c r="N117" s="185"/>
      <c r="O117" s="99" t="s">
        <v>1</v>
      </c>
      <c r="P117" s="230" t="s">
        <v>272</v>
      </c>
      <c r="Q117" s="99" t="s">
        <v>30</v>
      </c>
      <c r="R117" s="232" t="s">
        <v>195</v>
      </c>
    </row>
    <row r="118" spans="1:18" ht="20">
      <c r="A118" s="46" t="s">
        <v>186</v>
      </c>
      <c r="B118" s="69" t="str">
        <f t="shared" si="12"/>
        <v>A+</v>
      </c>
      <c r="C118" s="150" t="str">
        <f t="shared" si="13"/>
        <v>A3</v>
      </c>
      <c r="E118" s="136" t="s">
        <v>186</v>
      </c>
      <c r="F118" s="143" t="str">
        <f t="shared" si="7"/>
        <v>A3</v>
      </c>
      <c r="G118" s="211" t="str">
        <f t="shared" si="8"/>
        <v>A+</v>
      </c>
      <c r="H118" s="212" t="str">
        <f t="shared" si="9"/>
        <v>A</v>
      </c>
      <c r="K118" s="100" t="s">
        <v>0</v>
      </c>
      <c r="L118" s="185" t="s">
        <v>124</v>
      </c>
      <c r="M118" s="185" t="s">
        <v>124</v>
      </c>
      <c r="N118" s="186"/>
      <c r="O118" s="99" t="s">
        <v>224</v>
      </c>
      <c r="P118" s="228" t="s">
        <v>193</v>
      </c>
      <c r="Q118" s="99" t="s">
        <v>186</v>
      </c>
      <c r="R118" s="232" t="s">
        <v>221</v>
      </c>
    </row>
    <row r="119" spans="1:18" ht="20">
      <c r="A119" s="46" t="s">
        <v>74</v>
      </c>
      <c r="B119" s="69" t="str">
        <f t="shared" si="12"/>
        <v>AA</v>
      </c>
      <c r="C119" s="150" t="str">
        <f t="shared" si="13"/>
        <v>Aa2</v>
      </c>
      <c r="E119" s="136" t="s">
        <v>74</v>
      </c>
      <c r="F119" s="143" t="str">
        <f t="shared" si="7"/>
        <v>Aa2</v>
      </c>
      <c r="G119" s="211" t="str">
        <f t="shared" si="8"/>
        <v>AA</v>
      </c>
      <c r="H119" s="212" t="str">
        <f t="shared" si="9"/>
        <v>AA</v>
      </c>
      <c r="K119" s="203" t="s">
        <v>1</v>
      </c>
      <c r="L119" s="186" t="s">
        <v>534</v>
      </c>
      <c r="M119" s="186" t="s">
        <v>534</v>
      </c>
      <c r="N119" s="186"/>
      <c r="O119" s="99" t="s">
        <v>429</v>
      </c>
      <c r="P119" s="228" t="s">
        <v>199</v>
      </c>
      <c r="Q119" s="99" t="s">
        <v>366</v>
      </c>
      <c r="R119" s="232" t="s">
        <v>272</v>
      </c>
    </row>
    <row r="120" spans="1:18" ht="20">
      <c r="A120" s="46" t="s">
        <v>286</v>
      </c>
      <c r="B120" s="69" t="s">
        <v>195</v>
      </c>
      <c r="C120" s="150" t="s">
        <v>43</v>
      </c>
      <c r="E120" s="149" t="s">
        <v>286</v>
      </c>
      <c r="F120" s="143" t="s">
        <v>272</v>
      </c>
      <c r="G120" s="211" t="s">
        <v>272</v>
      </c>
      <c r="H120" s="212" t="e">
        <f t="shared" si="9"/>
        <v>#N/A</v>
      </c>
      <c r="K120" s="203" t="s">
        <v>224</v>
      </c>
      <c r="L120" s="186" t="s">
        <v>49</v>
      </c>
      <c r="M120" s="186" t="s">
        <v>49</v>
      </c>
      <c r="N120" s="185"/>
      <c r="O120" s="99" t="s">
        <v>2</v>
      </c>
      <c r="P120" s="229" t="s">
        <v>219</v>
      </c>
      <c r="Q120" s="99" t="s">
        <v>74</v>
      </c>
      <c r="R120" s="232" t="s">
        <v>204</v>
      </c>
    </row>
    <row r="121" spans="1:18" ht="20">
      <c r="A121" s="46" t="s">
        <v>0</v>
      </c>
      <c r="B121" s="69" t="str">
        <f t="shared" ref="B121:B131" si="14">G121</f>
        <v>BBB-</v>
      </c>
      <c r="C121" s="150" t="str">
        <f t="shared" ref="C121:C131" si="15">F121</f>
        <v>Baa3</v>
      </c>
      <c r="E121" s="136" t="s">
        <v>0</v>
      </c>
      <c r="F121" s="143" t="str">
        <f t="shared" si="7"/>
        <v>Baa3</v>
      </c>
      <c r="G121" s="211" t="str">
        <f t="shared" si="8"/>
        <v>BBB-</v>
      </c>
      <c r="H121" s="212" t="str">
        <f t="shared" si="9"/>
        <v>BBB-</v>
      </c>
      <c r="K121" s="100" t="s">
        <v>2</v>
      </c>
      <c r="L121" s="185" t="s">
        <v>46</v>
      </c>
      <c r="M121" s="185" t="s">
        <v>46</v>
      </c>
      <c r="N121" s="185"/>
      <c r="O121" s="99" t="s">
        <v>135</v>
      </c>
      <c r="P121" s="230" t="s">
        <v>215</v>
      </c>
      <c r="Q121" s="99" t="s">
        <v>269</v>
      </c>
      <c r="R121" s="232" t="s">
        <v>215</v>
      </c>
    </row>
    <row r="122" spans="1:18" ht="20">
      <c r="A122" s="46" t="s">
        <v>1</v>
      </c>
      <c r="B122" s="69" t="str">
        <f t="shared" si="14"/>
        <v>NR</v>
      </c>
      <c r="C122" s="150" t="str">
        <f t="shared" si="15"/>
        <v>NR</v>
      </c>
      <c r="E122" s="144" t="s">
        <v>1</v>
      </c>
      <c r="F122" s="143" t="s">
        <v>272</v>
      </c>
      <c r="G122" s="211" t="str">
        <f t="shared" si="8"/>
        <v>NR</v>
      </c>
      <c r="H122" s="212" t="str">
        <f t="shared" si="9"/>
        <v>BBB-</v>
      </c>
      <c r="K122" s="100" t="s">
        <v>135</v>
      </c>
      <c r="L122" s="185" t="s">
        <v>100</v>
      </c>
      <c r="M122" s="185" t="s">
        <v>100</v>
      </c>
      <c r="N122" s="185"/>
      <c r="O122" s="99" t="s">
        <v>146</v>
      </c>
      <c r="P122" s="228" t="s">
        <v>202</v>
      </c>
      <c r="Q122" s="99" t="s">
        <v>0</v>
      </c>
      <c r="R122" s="232" t="s">
        <v>202</v>
      </c>
    </row>
    <row r="123" spans="1:18" ht="20">
      <c r="A123" s="46" t="s">
        <v>224</v>
      </c>
      <c r="B123" s="69" t="str">
        <f t="shared" si="14"/>
        <v>B+</v>
      </c>
      <c r="C123" s="150" t="str">
        <f t="shared" si="15"/>
        <v>B2</v>
      </c>
      <c r="E123" s="144" t="s">
        <v>224</v>
      </c>
      <c r="F123" s="143" t="str">
        <f t="shared" si="7"/>
        <v>B2</v>
      </c>
      <c r="G123" s="211" t="str">
        <f t="shared" si="8"/>
        <v>B+</v>
      </c>
      <c r="H123" s="212" t="str">
        <f t="shared" si="9"/>
        <v>B+</v>
      </c>
      <c r="K123" s="100" t="s">
        <v>146</v>
      </c>
      <c r="L123" s="185" t="s">
        <v>80</v>
      </c>
      <c r="M123" s="185" t="s">
        <v>80</v>
      </c>
      <c r="N123" s="185"/>
      <c r="O123" s="99" t="s">
        <v>388</v>
      </c>
      <c r="P123" s="230"/>
      <c r="Q123" s="99" t="s">
        <v>1</v>
      </c>
      <c r="R123" s="232" t="s">
        <v>202</v>
      </c>
    </row>
    <row r="124" spans="1:18" ht="20">
      <c r="A124" s="46" t="s">
        <v>2</v>
      </c>
      <c r="B124" s="69" t="str">
        <f t="shared" si="14"/>
        <v>A+</v>
      </c>
      <c r="C124" s="150" t="str">
        <f t="shared" si="15"/>
        <v>Aa3</v>
      </c>
      <c r="E124" s="136" t="s">
        <v>2</v>
      </c>
      <c r="F124" s="143" t="str">
        <f t="shared" si="7"/>
        <v>Aa3</v>
      </c>
      <c r="G124" s="211" t="str">
        <f t="shared" si="8"/>
        <v>A+</v>
      </c>
      <c r="H124" s="212" t="str">
        <f t="shared" si="9"/>
        <v>A+</v>
      </c>
      <c r="K124" s="100" t="s">
        <v>280</v>
      </c>
      <c r="L124" s="185" t="s">
        <v>79</v>
      </c>
      <c r="M124" s="185" t="s">
        <v>79</v>
      </c>
      <c r="N124" s="185"/>
      <c r="O124" s="99" t="s">
        <v>3</v>
      </c>
      <c r="P124" s="229" t="s">
        <v>200</v>
      </c>
      <c r="Q124" s="99" t="s">
        <v>224</v>
      </c>
      <c r="R124" s="232" t="s">
        <v>193</v>
      </c>
    </row>
    <row r="125" spans="1:18" ht="20">
      <c r="A125" s="46" t="s">
        <v>135</v>
      </c>
      <c r="B125" s="69" t="str">
        <f t="shared" si="14"/>
        <v>CCC+</v>
      </c>
      <c r="C125" s="150" t="str">
        <f t="shared" si="15"/>
        <v>Caa1</v>
      </c>
      <c r="E125" s="136" t="s">
        <v>135</v>
      </c>
      <c r="F125" s="143" t="str">
        <f t="shared" si="7"/>
        <v>Caa1</v>
      </c>
      <c r="G125" s="211" t="str">
        <f t="shared" si="8"/>
        <v>CCC+</v>
      </c>
      <c r="H125" s="212" t="str">
        <f t="shared" si="9"/>
        <v>NR</v>
      </c>
      <c r="K125" s="100" t="s">
        <v>3</v>
      </c>
      <c r="L125" s="185" t="s">
        <v>47</v>
      </c>
      <c r="M125" s="185" t="s">
        <v>47</v>
      </c>
      <c r="N125" s="185"/>
      <c r="O125" s="99" t="s">
        <v>61</v>
      </c>
      <c r="P125" s="229" t="s">
        <v>219</v>
      </c>
      <c r="Q125" s="99" t="s">
        <v>441</v>
      </c>
      <c r="R125" s="232" t="s">
        <v>272</v>
      </c>
    </row>
    <row r="126" spans="1:18" ht="20">
      <c r="A126" s="46" t="s">
        <v>146</v>
      </c>
      <c r="B126" s="69" t="str">
        <f t="shared" si="14"/>
        <v>BBB-</v>
      </c>
      <c r="C126" s="150" t="str">
        <f t="shared" si="15"/>
        <v>Ba2</v>
      </c>
      <c r="E126" s="136" t="s">
        <v>146</v>
      </c>
      <c r="F126" s="143" t="str">
        <f t="shared" si="7"/>
        <v>Ba2</v>
      </c>
      <c r="G126" s="211" t="str">
        <f t="shared" si="8"/>
        <v>BBB-</v>
      </c>
      <c r="H126" s="212" t="str">
        <f t="shared" si="9"/>
        <v>BB+</v>
      </c>
      <c r="K126" s="100" t="s">
        <v>61</v>
      </c>
      <c r="L126" s="185" t="s">
        <v>43</v>
      </c>
      <c r="M126" s="185" t="s">
        <v>43</v>
      </c>
      <c r="N126" s="185"/>
      <c r="O126" s="99" t="s">
        <v>187</v>
      </c>
      <c r="P126" s="229" t="s">
        <v>204</v>
      </c>
      <c r="Q126" s="99" t="s">
        <v>429</v>
      </c>
      <c r="R126" s="232" t="s">
        <v>202</v>
      </c>
    </row>
    <row r="127" spans="1:18" ht="20">
      <c r="A127" s="46" t="s">
        <v>280</v>
      </c>
      <c r="B127" s="69" t="str">
        <f t="shared" si="14"/>
        <v>NR</v>
      </c>
      <c r="C127" s="150" t="str">
        <f t="shared" si="15"/>
        <v>Ba1</v>
      </c>
      <c r="E127" s="136" t="s">
        <v>280</v>
      </c>
      <c r="F127" s="143" t="str">
        <f t="shared" si="7"/>
        <v>Ba1</v>
      </c>
      <c r="G127" s="211" t="s">
        <v>272</v>
      </c>
      <c r="H127" s="212" t="e">
        <f t="shared" si="9"/>
        <v>#N/A</v>
      </c>
      <c r="K127" s="100" t="s">
        <v>187</v>
      </c>
      <c r="L127" s="185" t="s">
        <v>42</v>
      </c>
      <c r="M127" s="185" t="s">
        <v>42</v>
      </c>
      <c r="N127" s="185"/>
      <c r="O127" s="99" t="s">
        <v>391</v>
      </c>
      <c r="P127" s="230"/>
      <c r="Q127" s="99" t="s">
        <v>2</v>
      </c>
      <c r="R127" s="232" t="s">
        <v>219</v>
      </c>
    </row>
    <row r="128" spans="1:18" ht="20">
      <c r="A128" s="46" t="s">
        <v>3</v>
      </c>
      <c r="B128" s="69" t="str">
        <f t="shared" si="14"/>
        <v>AAA</v>
      </c>
      <c r="C128" s="150" t="str">
        <f t="shared" si="15"/>
        <v>Aaa</v>
      </c>
      <c r="E128" s="136" t="s">
        <v>3</v>
      </c>
      <c r="F128" s="143" t="str">
        <f t="shared" si="7"/>
        <v>Aaa</v>
      </c>
      <c r="G128" s="211" t="str">
        <f t="shared" si="8"/>
        <v>AAA</v>
      </c>
      <c r="H128" s="212" t="str">
        <f t="shared" si="9"/>
        <v>AAA</v>
      </c>
      <c r="K128" s="100" t="s">
        <v>391</v>
      </c>
      <c r="L128" s="185" t="s">
        <v>100</v>
      </c>
      <c r="M128" s="185" t="s">
        <v>100</v>
      </c>
      <c r="N128" s="185"/>
      <c r="O128" s="99" t="s">
        <v>76</v>
      </c>
      <c r="P128" s="228" t="s">
        <v>212</v>
      </c>
      <c r="Q128" s="99" t="s">
        <v>135</v>
      </c>
      <c r="R128" s="232" t="s">
        <v>272</v>
      </c>
    </row>
    <row r="129" spans="1:18" ht="20">
      <c r="A129" s="46" t="s">
        <v>61</v>
      </c>
      <c r="B129" s="69" t="str">
        <f t="shared" si="14"/>
        <v>A+</v>
      </c>
      <c r="C129" s="150" t="str">
        <f t="shared" si="15"/>
        <v>A3</v>
      </c>
      <c r="E129" s="136" t="s">
        <v>61</v>
      </c>
      <c r="F129" s="143" t="str">
        <f t="shared" si="7"/>
        <v>A3</v>
      </c>
      <c r="G129" s="211" t="str">
        <f t="shared" si="8"/>
        <v>A+</v>
      </c>
      <c r="H129" s="212" t="str">
        <f t="shared" si="9"/>
        <v>A-</v>
      </c>
      <c r="K129" s="100" t="s">
        <v>76</v>
      </c>
      <c r="L129" s="185" t="s">
        <v>80</v>
      </c>
      <c r="M129" s="185" t="s">
        <v>80</v>
      </c>
      <c r="N129" s="185"/>
      <c r="O129" s="99" t="s">
        <v>541</v>
      </c>
      <c r="P129" s="229" t="s">
        <v>204</v>
      </c>
      <c r="Q129" s="99" t="s">
        <v>146</v>
      </c>
      <c r="R129" s="232" t="s">
        <v>213</v>
      </c>
    </row>
    <row r="130" spans="1:18" ht="20">
      <c r="A130" s="46" t="s">
        <v>187</v>
      </c>
      <c r="B130" s="69" t="str">
        <f t="shared" si="14"/>
        <v>AA</v>
      </c>
      <c r="C130" s="150" t="str">
        <f t="shared" si="15"/>
        <v>A2</v>
      </c>
      <c r="E130" s="136" t="s">
        <v>187</v>
      </c>
      <c r="F130" s="143" t="str">
        <f t="shared" si="7"/>
        <v>A2</v>
      </c>
      <c r="G130" s="211" t="str">
        <f t="shared" si="8"/>
        <v>AA</v>
      </c>
      <c r="H130" s="212" t="str">
        <f t="shared" si="9"/>
        <v>A+</v>
      </c>
      <c r="K130" s="100" t="s">
        <v>138</v>
      </c>
      <c r="L130" s="185" t="s">
        <v>43</v>
      </c>
      <c r="M130" s="185" t="s">
        <v>43</v>
      </c>
      <c r="N130" s="185"/>
      <c r="O130" s="99" t="s">
        <v>138</v>
      </c>
      <c r="P130" s="229" t="s">
        <v>219</v>
      </c>
      <c r="Q130" s="99" t="s">
        <v>388</v>
      </c>
      <c r="R130" s="232" t="s">
        <v>212</v>
      </c>
    </row>
    <row r="131" spans="1:18" ht="20">
      <c r="A131" s="46" t="s">
        <v>391</v>
      </c>
      <c r="B131" s="69">
        <f t="shared" si="14"/>
        <v>0</v>
      </c>
      <c r="C131" s="150" t="str">
        <f t="shared" si="15"/>
        <v>Caa1</v>
      </c>
      <c r="E131" s="136" t="s">
        <v>391</v>
      </c>
      <c r="F131" s="143" t="str">
        <f t="shared" si="7"/>
        <v>Caa1</v>
      </c>
      <c r="G131" s="211">
        <f t="shared" ref="G131:G159" si="16">VLOOKUP(E131,$O$2:$P$155,2,FALSE)</f>
        <v>0</v>
      </c>
      <c r="H131" s="212" t="str">
        <f t="shared" ref="H131:H159" si="17">VLOOKUP(E131,$Q$2:$R$161,2,FALSE)</f>
        <v>NR</v>
      </c>
      <c r="K131" s="100" t="s">
        <v>134</v>
      </c>
      <c r="L131" s="185" t="s">
        <v>100</v>
      </c>
      <c r="M131" s="185" t="s">
        <v>492</v>
      </c>
      <c r="N131" s="185"/>
      <c r="O131" s="99" t="s">
        <v>134</v>
      </c>
      <c r="P131" s="230" t="s">
        <v>215</v>
      </c>
      <c r="Q131" s="99" t="s">
        <v>3</v>
      </c>
      <c r="R131" s="232" t="s">
        <v>200</v>
      </c>
    </row>
    <row r="132" spans="1:18" ht="20">
      <c r="A132" s="46" t="s">
        <v>76</v>
      </c>
      <c r="B132" s="69" t="str">
        <f t="shared" ref="B132:B159" si="18">G132</f>
        <v>BB</v>
      </c>
      <c r="C132" s="150" t="str">
        <f t="shared" ref="C132:C159" si="19">F132</f>
        <v>Ba2</v>
      </c>
      <c r="E132" s="136" t="s">
        <v>76</v>
      </c>
      <c r="F132" s="143" t="str">
        <f t="shared" ref="F132:F159" si="20">VLOOKUP(E132,$K$2:$M$154,3,FALSE)</f>
        <v>Ba2</v>
      </c>
      <c r="G132" s="211" t="str">
        <f t="shared" si="16"/>
        <v>BB</v>
      </c>
      <c r="H132" s="212" t="str">
        <f t="shared" si="17"/>
        <v>BB-</v>
      </c>
      <c r="K132" s="100" t="s">
        <v>432</v>
      </c>
      <c r="L132" s="185" t="s">
        <v>534</v>
      </c>
      <c r="M132" s="185" t="s">
        <v>534</v>
      </c>
      <c r="N132" s="185"/>
      <c r="O132" s="99" t="s">
        <v>613</v>
      </c>
      <c r="P132" s="230"/>
      <c r="Q132" s="99" t="s">
        <v>61</v>
      </c>
      <c r="R132" s="232" t="s">
        <v>195</v>
      </c>
    </row>
    <row r="133" spans="1:18" ht="20">
      <c r="A133" s="46" t="s">
        <v>138</v>
      </c>
      <c r="B133" s="69" t="str">
        <f t="shared" si="18"/>
        <v>A+</v>
      </c>
      <c r="C133" s="150" t="str">
        <f t="shared" si="19"/>
        <v>A3</v>
      </c>
      <c r="E133" s="136" t="s">
        <v>138</v>
      </c>
      <c r="F133" s="143" t="str">
        <f t="shared" si="20"/>
        <v>A3</v>
      </c>
      <c r="G133" s="211" t="str">
        <f t="shared" si="16"/>
        <v>A+</v>
      </c>
      <c r="H133" s="212" t="str">
        <f t="shared" si="17"/>
        <v>A</v>
      </c>
      <c r="K133" s="100" t="s">
        <v>10</v>
      </c>
      <c r="L133" s="185" t="s">
        <v>78</v>
      </c>
      <c r="M133" s="185" t="s">
        <v>78</v>
      </c>
      <c r="N133" s="185"/>
      <c r="O133" s="99" t="s">
        <v>33</v>
      </c>
      <c r="P133" s="230" t="s">
        <v>215</v>
      </c>
      <c r="Q133" s="99" t="s">
        <v>187</v>
      </c>
      <c r="R133" s="232" t="s">
        <v>219</v>
      </c>
    </row>
    <row r="134" spans="1:18" ht="20">
      <c r="A134" s="46" t="s">
        <v>134</v>
      </c>
      <c r="B134" s="69" t="str">
        <f t="shared" si="18"/>
        <v>CCC+</v>
      </c>
      <c r="C134" s="150" t="str">
        <f t="shared" si="19"/>
        <v>Ca</v>
      </c>
      <c r="E134" s="136" t="s">
        <v>134</v>
      </c>
      <c r="F134" s="143" t="s">
        <v>335</v>
      </c>
      <c r="G134" s="211" t="str">
        <f t="shared" si="16"/>
        <v>CCC+</v>
      </c>
      <c r="H134" s="212" t="str">
        <f t="shared" si="17"/>
        <v>CCC+</v>
      </c>
      <c r="K134" s="100" t="s">
        <v>33</v>
      </c>
      <c r="L134" s="185" t="s">
        <v>100</v>
      </c>
      <c r="M134" s="185" t="s">
        <v>100</v>
      </c>
      <c r="N134" s="185"/>
      <c r="O134" s="99" t="s">
        <v>378</v>
      </c>
      <c r="P134" s="230"/>
      <c r="Q134" s="99" t="s">
        <v>391</v>
      </c>
      <c r="R134" s="232" t="s">
        <v>272</v>
      </c>
    </row>
    <row r="135" spans="1:18" ht="20">
      <c r="A135" s="46" t="s">
        <v>188</v>
      </c>
      <c r="B135" s="69" t="s">
        <v>143</v>
      </c>
      <c r="C135" s="150" t="s">
        <v>80</v>
      </c>
      <c r="E135" s="136" t="s">
        <v>432</v>
      </c>
      <c r="F135" s="143" t="str">
        <f t="shared" si="20"/>
        <v>WR</v>
      </c>
      <c r="G135" s="211" t="s">
        <v>272</v>
      </c>
      <c r="H135" s="212" t="e">
        <f t="shared" si="17"/>
        <v>#N/A</v>
      </c>
      <c r="K135" s="100" t="s">
        <v>34</v>
      </c>
      <c r="L135" s="185" t="s">
        <v>47</v>
      </c>
      <c r="M135" s="185" t="s">
        <v>47</v>
      </c>
      <c r="N135" s="185"/>
      <c r="O135" s="99" t="s">
        <v>34</v>
      </c>
      <c r="P135" s="229" t="s">
        <v>200</v>
      </c>
      <c r="Q135" s="99" t="s">
        <v>76</v>
      </c>
      <c r="R135" s="232" t="s">
        <v>196</v>
      </c>
    </row>
    <row r="136" spans="1:18" ht="20">
      <c r="A136" s="46" t="s">
        <v>10</v>
      </c>
      <c r="B136" s="69" t="str">
        <f t="shared" si="18"/>
        <v>NR</v>
      </c>
      <c r="C136" s="150" t="str">
        <f t="shared" si="19"/>
        <v>B3</v>
      </c>
      <c r="E136" s="136" t="s">
        <v>10</v>
      </c>
      <c r="F136" s="143" t="str">
        <f t="shared" si="20"/>
        <v>B3</v>
      </c>
      <c r="G136" s="211" t="s">
        <v>272</v>
      </c>
      <c r="H136" s="212" t="e">
        <f t="shared" si="17"/>
        <v>#N/A</v>
      </c>
      <c r="K136" s="100" t="s">
        <v>35</v>
      </c>
      <c r="L136" s="185" t="s">
        <v>47</v>
      </c>
      <c r="M136" s="185" t="s">
        <v>47</v>
      </c>
      <c r="N136" s="185"/>
      <c r="O136" s="99" t="s">
        <v>35</v>
      </c>
      <c r="P136" s="229" t="s">
        <v>200</v>
      </c>
      <c r="Q136" s="99" t="s">
        <v>541</v>
      </c>
      <c r="R136" s="232" t="s">
        <v>207</v>
      </c>
    </row>
    <row r="137" spans="1:18" ht="20">
      <c r="A137" s="46" t="s">
        <v>33</v>
      </c>
      <c r="B137" s="69" t="str">
        <f t="shared" si="18"/>
        <v>CCC+</v>
      </c>
      <c r="C137" s="150" t="str">
        <f t="shared" si="19"/>
        <v>Caa1</v>
      </c>
      <c r="E137" s="136" t="s">
        <v>33</v>
      </c>
      <c r="F137" s="143" t="str">
        <f t="shared" si="20"/>
        <v>Caa1</v>
      </c>
      <c r="G137" s="211" t="str">
        <f t="shared" si="16"/>
        <v>CCC+</v>
      </c>
      <c r="H137" s="212" t="str">
        <f t="shared" si="17"/>
        <v>C</v>
      </c>
      <c r="K137" s="100" t="s">
        <v>478</v>
      </c>
      <c r="L137" s="185" t="s">
        <v>46</v>
      </c>
      <c r="M137" s="185" t="s">
        <v>46</v>
      </c>
      <c r="N137" s="185"/>
      <c r="O137" s="99" t="s">
        <v>64</v>
      </c>
      <c r="P137" s="229" t="s">
        <v>201</v>
      </c>
      <c r="Q137" s="99" t="s">
        <v>138</v>
      </c>
      <c r="R137" s="232" t="s">
        <v>221</v>
      </c>
    </row>
    <row r="138" spans="1:18" ht="20">
      <c r="A138" s="46" t="s">
        <v>378</v>
      </c>
      <c r="B138" s="69" t="e">
        <f t="shared" si="18"/>
        <v>#N/A</v>
      </c>
      <c r="C138" s="150" t="str">
        <f t="shared" si="19"/>
        <v>B2</v>
      </c>
      <c r="E138" s="136" t="s">
        <v>465</v>
      </c>
      <c r="F138" s="143" t="str">
        <f t="shared" si="20"/>
        <v>B2</v>
      </c>
      <c r="G138" s="211" t="e">
        <f t="shared" si="16"/>
        <v>#N/A</v>
      </c>
      <c r="H138" s="212" t="e">
        <f t="shared" si="17"/>
        <v>#N/A</v>
      </c>
      <c r="K138" s="100" t="s">
        <v>375</v>
      </c>
      <c r="L138" s="185" t="s">
        <v>49</v>
      </c>
      <c r="M138" s="185" t="s">
        <v>49</v>
      </c>
      <c r="N138" s="185"/>
      <c r="O138" s="99" t="s">
        <v>375</v>
      </c>
      <c r="P138" s="228" t="s">
        <v>206</v>
      </c>
      <c r="Q138" s="99" t="s">
        <v>134</v>
      </c>
      <c r="R138" s="232" t="s">
        <v>215</v>
      </c>
    </row>
    <row r="139" spans="1:18" ht="20">
      <c r="A139" s="46" t="s">
        <v>34</v>
      </c>
      <c r="B139" s="69" t="str">
        <f t="shared" si="18"/>
        <v>AAA</v>
      </c>
      <c r="C139" s="150" t="str">
        <f t="shared" si="19"/>
        <v>Aaa</v>
      </c>
      <c r="E139" s="136" t="s">
        <v>34</v>
      </c>
      <c r="F139" s="143" t="str">
        <f t="shared" si="20"/>
        <v>Aaa</v>
      </c>
      <c r="G139" s="211" t="str">
        <f t="shared" si="16"/>
        <v>AAA</v>
      </c>
      <c r="H139" s="212" t="str">
        <f t="shared" si="17"/>
        <v>AAA</v>
      </c>
      <c r="K139" s="100" t="s">
        <v>324</v>
      </c>
      <c r="L139" s="185" t="s">
        <v>48</v>
      </c>
      <c r="M139" s="185" t="s">
        <v>48</v>
      </c>
      <c r="N139" s="185"/>
      <c r="O139" s="99" t="s">
        <v>324</v>
      </c>
      <c r="P139" s="230"/>
      <c r="Q139" s="99" t="s">
        <v>33</v>
      </c>
      <c r="R139" s="232" t="s">
        <v>137</v>
      </c>
    </row>
    <row r="140" spans="1:18" ht="20">
      <c r="A140" s="46" t="s">
        <v>35</v>
      </c>
      <c r="B140" s="69" t="str">
        <f t="shared" si="18"/>
        <v>AAA</v>
      </c>
      <c r="C140" s="150" t="str">
        <f t="shared" si="19"/>
        <v>Aaa</v>
      </c>
      <c r="E140" s="136" t="s">
        <v>35</v>
      </c>
      <c r="F140" s="143" t="str">
        <f t="shared" si="20"/>
        <v>Aaa</v>
      </c>
      <c r="G140" s="211" t="str">
        <f t="shared" si="16"/>
        <v>AAA</v>
      </c>
      <c r="H140" s="212" t="str">
        <f t="shared" si="17"/>
        <v>AAA</v>
      </c>
      <c r="K140" s="100" t="s">
        <v>65</v>
      </c>
      <c r="L140" s="185" t="s">
        <v>82</v>
      </c>
      <c r="M140" s="185" t="s">
        <v>82</v>
      </c>
      <c r="N140" s="185"/>
      <c r="O140" s="99" t="s">
        <v>65</v>
      </c>
      <c r="P140" s="228" t="s">
        <v>199</v>
      </c>
      <c r="Q140" s="99" t="s">
        <v>378</v>
      </c>
      <c r="R140" s="232" t="s">
        <v>272</v>
      </c>
    </row>
    <row r="141" spans="1:18" ht="20">
      <c r="A141" s="46" t="s">
        <v>64</v>
      </c>
      <c r="B141" s="69" t="str">
        <f t="shared" si="18"/>
        <v>AA+</v>
      </c>
      <c r="C141" s="150" t="str">
        <f t="shared" si="19"/>
        <v>Aa3</v>
      </c>
      <c r="E141" s="136" t="s">
        <v>64</v>
      </c>
      <c r="F141" s="143" t="s">
        <v>46</v>
      </c>
      <c r="G141" s="211" t="str">
        <f t="shared" si="16"/>
        <v>AA+</v>
      </c>
      <c r="H141" s="212" t="str">
        <f t="shared" si="17"/>
        <v>AA</v>
      </c>
      <c r="K141" s="100" t="s">
        <v>316</v>
      </c>
      <c r="L141" s="185" t="s">
        <v>78</v>
      </c>
      <c r="M141" s="185" t="s">
        <v>78</v>
      </c>
      <c r="N141" s="185"/>
      <c r="O141" s="99" t="s">
        <v>316</v>
      </c>
      <c r="P141" s="228" t="s">
        <v>193</v>
      </c>
      <c r="Q141" s="99" t="s">
        <v>34</v>
      </c>
      <c r="R141" s="232" t="s">
        <v>200</v>
      </c>
    </row>
    <row r="142" spans="1:18" ht="20">
      <c r="A142" s="100" t="s">
        <v>375</v>
      </c>
      <c r="B142" s="69" t="str">
        <f t="shared" si="18"/>
        <v>B</v>
      </c>
      <c r="C142" s="150" t="str">
        <f t="shared" si="19"/>
        <v>B2</v>
      </c>
      <c r="E142" s="136" t="s">
        <v>375</v>
      </c>
      <c r="F142" s="143" t="str">
        <f t="shared" si="20"/>
        <v>B2</v>
      </c>
      <c r="G142" s="211" t="str">
        <f t="shared" si="16"/>
        <v>B</v>
      </c>
      <c r="H142" s="212" t="str">
        <f t="shared" si="17"/>
        <v>NR</v>
      </c>
      <c r="K142" s="203" t="s">
        <v>11</v>
      </c>
      <c r="L142" s="185" t="s">
        <v>80</v>
      </c>
      <c r="M142" s="185" t="s">
        <v>80</v>
      </c>
      <c r="N142" s="185"/>
      <c r="O142" s="99" t="s">
        <v>11</v>
      </c>
      <c r="P142" s="228" t="s">
        <v>202</v>
      </c>
      <c r="Q142" s="99" t="s">
        <v>35</v>
      </c>
      <c r="R142" s="232" t="s">
        <v>200</v>
      </c>
    </row>
    <row r="143" spans="1:18" ht="20">
      <c r="A143" s="100" t="s">
        <v>324</v>
      </c>
      <c r="B143" s="69" t="str">
        <f t="shared" si="18"/>
        <v>NR</v>
      </c>
      <c r="C143" s="150" t="str">
        <f t="shared" si="19"/>
        <v>B1</v>
      </c>
      <c r="E143" s="136" t="s">
        <v>324</v>
      </c>
      <c r="F143" s="143" t="str">
        <f t="shared" si="20"/>
        <v>B1</v>
      </c>
      <c r="G143" s="211" t="s">
        <v>272</v>
      </c>
      <c r="H143" s="212" t="str">
        <f t="shared" si="17"/>
        <v>B+</v>
      </c>
      <c r="K143" s="100" t="s">
        <v>77</v>
      </c>
      <c r="L143" s="185" t="s">
        <v>100</v>
      </c>
      <c r="M143" s="185" t="s">
        <v>100</v>
      </c>
      <c r="N143" s="185"/>
      <c r="O143" s="99" t="s">
        <v>77</v>
      </c>
      <c r="P143" s="229" t="s">
        <v>611</v>
      </c>
      <c r="Q143" s="99" t="s">
        <v>64</v>
      </c>
      <c r="R143" s="232" t="s">
        <v>204</v>
      </c>
    </row>
    <row r="144" spans="1:18" ht="20">
      <c r="A144" s="46" t="s">
        <v>65</v>
      </c>
      <c r="B144" s="69" t="str">
        <f t="shared" si="18"/>
        <v>BBB+</v>
      </c>
      <c r="C144" s="150" t="str">
        <f t="shared" si="19"/>
        <v>Baa1</v>
      </c>
      <c r="E144" s="136" t="s">
        <v>65</v>
      </c>
      <c r="F144" s="143" t="str">
        <f t="shared" si="20"/>
        <v>Baa1</v>
      </c>
      <c r="G144" s="211" t="str">
        <f t="shared" si="16"/>
        <v>BBB+</v>
      </c>
      <c r="H144" s="212" t="str">
        <f t="shared" si="17"/>
        <v>BBB+</v>
      </c>
      <c r="K144" s="100" t="s">
        <v>66</v>
      </c>
      <c r="L144" s="185" t="s">
        <v>81</v>
      </c>
      <c r="M144" s="185" t="s">
        <v>81</v>
      </c>
      <c r="N144" s="185"/>
      <c r="O144" s="99" t="s">
        <v>66</v>
      </c>
      <c r="P144" s="228" t="s">
        <v>196</v>
      </c>
      <c r="Q144" s="99" t="s">
        <v>375</v>
      </c>
      <c r="R144" s="232" t="s">
        <v>272</v>
      </c>
    </row>
    <row r="145" spans="1:18" ht="20">
      <c r="A145" s="133" t="s">
        <v>316</v>
      </c>
      <c r="B145" s="69" t="str">
        <f t="shared" si="18"/>
        <v>B+</v>
      </c>
      <c r="C145" s="150" t="str">
        <f t="shared" si="19"/>
        <v>B3</v>
      </c>
      <c r="E145" s="136" t="s">
        <v>316</v>
      </c>
      <c r="F145" s="143" t="str">
        <f t="shared" si="20"/>
        <v>B3</v>
      </c>
      <c r="G145" s="211" t="str">
        <f t="shared" si="16"/>
        <v>B+</v>
      </c>
      <c r="H145" s="212" t="str">
        <f t="shared" si="17"/>
        <v>NR</v>
      </c>
      <c r="K145" s="100" t="s">
        <v>225</v>
      </c>
      <c r="L145" s="185" t="s">
        <v>78</v>
      </c>
      <c r="M145" s="185" t="s">
        <v>78</v>
      </c>
      <c r="N145" s="185"/>
      <c r="O145" s="99" t="s">
        <v>67</v>
      </c>
      <c r="P145" s="230"/>
      <c r="Q145" s="99" t="s">
        <v>324</v>
      </c>
      <c r="R145" s="232" t="s">
        <v>193</v>
      </c>
    </row>
    <row r="146" spans="1:18" ht="20">
      <c r="A146" s="46" t="s">
        <v>11</v>
      </c>
      <c r="B146" s="69" t="str">
        <f t="shared" si="18"/>
        <v>BBB-</v>
      </c>
      <c r="C146" s="150" t="str">
        <f t="shared" si="19"/>
        <v>Ba2</v>
      </c>
      <c r="E146" s="144" t="s">
        <v>11</v>
      </c>
      <c r="F146" s="143" t="str">
        <f t="shared" si="20"/>
        <v>Ba2</v>
      </c>
      <c r="G146" s="211" t="str">
        <f t="shared" si="16"/>
        <v>BBB-</v>
      </c>
      <c r="H146" s="212" t="str">
        <f t="shared" si="17"/>
        <v>NR</v>
      </c>
      <c r="K146" s="100" t="s">
        <v>68</v>
      </c>
      <c r="L146" s="185" t="s">
        <v>335</v>
      </c>
      <c r="M146" s="185" t="s">
        <v>335</v>
      </c>
      <c r="N146" s="185"/>
      <c r="O146" s="99" t="s">
        <v>225</v>
      </c>
      <c r="P146" s="228" t="s">
        <v>197</v>
      </c>
      <c r="Q146" s="99" t="s">
        <v>65</v>
      </c>
      <c r="R146" s="232" t="s">
        <v>199</v>
      </c>
    </row>
    <row r="147" spans="1:18" ht="20">
      <c r="A147" s="46" t="s">
        <v>77</v>
      </c>
      <c r="B147" s="69" t="str">
        <f t="shared" si="18"/>
        <v>N/A</v>
      </c>
      <c r="C147" s="150" t="str">
        <f t="shared" si="19"/>
        <v>Caa1</v>
      </c>
      <c r="E147" s="136" t="s">
        <v>77</v>
      </c>
      <c r="F147" s="143" t="str">
        <f t="shared" si="20"/>
        <v>Caa1</v>
      </c>
      <c r="G147" s="211" t="str">
        <f t="shared" si="16"/>
        <v>N/A</v>
      </c>
      <c r="H147" s="212" t="str">
        <f t="shared" si="17"/>
        <v>B-</v>
      </c>
      <c r="K147" s="100" t="s">
        <v>60</v>
      </c>
      <c r="L147" s="185" t="s">
        <v>45</v>
      </c>
      <c r="M147" s="185" t="s">
        <v>45</v>
      </c>
      <c r="N147" s="185"/>
      <c r="O147" s="99" t="s">
        <v>68</v>
      </c>
      <c r="P147" s="230" t="s">
        <v>215</v>
      </c>
      <c r="Q147" s="99" t="s">
        <v>316</v>
      </c>
      <c r="R147" s="232" t="s">
        <v>272</v>
      </c>
    </row>
    <row r="148" spans="1:18" ht="20">
      <c r="A148" s="46" t="s">
        <v>66</v>
      </c>
      <c r="B148" s="69" t="str">
        <f t="shared" si="18"/>
        <v>BB-</v>
      </c>
      <c r="C148" s="150" t="str">
        <f t="shared" si="19"/>
        <v>Ba3</v>
      </c>
      <c r="E148" s="136" t="s">
        <v>66</v>
      </c>
      <c r="F148" s="143" t="str">
        <f t="shared" si="20"/>
        <v>Ba3</v>
      </c>
      <c r="G148" s="211" t="str">
        <f t="shared" si="16"/>
        <v>BB-</v>
      </c>
      <c r="H148" s="212" t="str">
        <f t="shared" si="17"/>
        <v>BB-</v>
      </c>
      <c r="K148" s="100" t="s">
        <v>57</v>
      </c>
      <c r="L148" s="185" t="s">
        <v>46</v>
      </c>
      <c r="M148" s="185" t="s">
        <v>46</v>
      </c>
      <c r="N148" s="185"/>
      <c r="O148" s="99" t="s">
        <v>60</v>
      </c>
      <c r="P148" s="229" t="s">
        <v>204</v>
      </c>
      <c r="Q148" s="99" t="s">
        <v>11</v>
      </c>
      <c r="R148" s="232" t="s">
        <v>272</v>
      </c>
    </row>
    <row r="149" spans="1:18" ht="20">
      <c r="A149" s="46" t="s">
        <v>287</v>
      </c>
      <c r="B149" s="69" t="s">
        <v>199</v>
      </c>
      <c r="C149" s="150" t="s">
        <v>82</v>
      </c>
      <c r="E149" s="149" t="s">
        <v>287</v>
      </c>
      <c r="F149" s="143" t="s">
        <v>272</v>
      </c>
      <c r="G149" s="211" t="s">
        <v>272</v>
      </c>
      <c r="H149" s="212" t="s">
        <v>199</v>
      </c>
      <c r="K149" s="100" t="s">
        <v>12</v>
      </c>
      <c r="L149" s="185" t="s">
        <v>44</v>
      </c>
      <c r="M149" s="185" t="s">
        <v>44</v>
      </c>
      <c r="N149" s="185"/>
      <c r="O149" s="99" t="s">
        <v>57</v>
      </c>
      <c r="P149" s="229" t="s">
        <v>204</v>
      </c>
      <c r="Q149" s="99" t="s">
        <v>77</v>
      </c>
      <c r="R149" s="232" t="s">
        <v>197</v>
      </c>
    </row>
    <row r="150" spans="1:18" ht="20">
      <c r="A150" s="46" t="s">
        <v>225</v>
      </c>
      <c r="B150" s="69" t="str">
        <f t="shared" si="18"/>
        <v>B-</v>
      </c>
      <c r="C150" s="150" t="str">
        <f t="shared" si="19"/>
        <v>B3</v>
      </c>
      <c r="E150" s="136" t="s">
        <v>225</v>
      </c>
      <c r="F150" s="143" t="str">
        <f t="shared" si="20"/>
        <v>B3</v>
      </c>
      <c r="G150" s="211" t="str">
        <f t="shared" si="16"/>
        <v>B-</v>
      </c>
      <c r="H150" s="212" t="str">
        <f t="shared" si="17"/>
        <v>B</v>
      </c>
      <c r="K150" s="100" t="s">
        <v>367</v>
      </c>
      <c r="L150" s="185" t="s">
        <v>81</v>
      </c>
      <c r="M150" s="185" t="s">
        <v>81</v>
      </c>
      <c r="N150" s="185"/>
      <c r="O150" s="99" t="s">
        <v>345</v>
      </c>
      <c r="P150" s="229" t="s">
        <v>201</v>
      </c>
      <c r="Q150" s="99" t="s">
        <v>66</v>
      </c>
      <c r="R150" s="232" t="s">
        <v>196</v>
      </c>
    </row>
    <row r="151" spans="1:18" ht="20">
      <c r="A151" s="46" t="s">
        <v>68</v>
      </c>
      <c r="B151" s="69" t="str">
        <f t="shared" si="18"/>
        <v>CCC+</v>
      </c>
      <c r="C151" s="150" t="str">
        <f t="shared" si="19"/>
        <v>Ca</v>
      </c>
      <c r="E151" s="136" t="s">
        <v>68</v>
      </c>
      <c r="F151" s="143" t="s">
        <v>335</v>
      </c>
      <c r="G151" s="211" t="str">
        <f t="shared" si="16"/>
        <v>CCC+</v>
      </c>
      <c r="H151" s="212" t="str">
        <f t="shared" si="17"/>
        <v>CCC</v>
      </c>
      <c r="K151" s="100" t="s">
        <v>69</v>
      </c>
      <c r="L151" s="185" t="s">
        <v>82</v>
      </c>
      <c r="M151" s="185" t="s">
        <v>82</v>
      </c>
      <c r="N151" s="185"/>
      <c r="O151" s="99" t="s">
        <v>69</v>
      </c>
      <c r="P151" s="228" t="s">
        <v>199</v>
      </c>
      <c r="Q151" s="99" t="s">
        <v>67</v>
      </c>
      <c r="R151" s="232" t="s">
        <v>196</v>
      </c>
    </row>
    <row r="152" spans="1:18" ht="20">
      <c r="A152" s="46" t="s">
        <v>60</v>
      </c>
      <c r="B152" s="69" t="str">
        <f t="shared" si="18"/>
        <v>AA</v>
      </c>
      <c r="C152" s="150" t="str">
        <f t="shared" si="19"/>
        <v>Aa2</v>
      </c>
      <c r="E152" s="136" t="s">
        <v>60</v>
      </c>
      <c r="F152" s="143" t="str">
        <f t="shared" si="20"/>
        <v>Aa2</v>
      </c>
      <c r="G152" s="211" t="str">
        <f t="shared" si="16"/>
        <v>AA</v>
      </c>
      <c r="H152" s="212" t="str">
        <f t="shared" si="17"/>
        <v>AA-</v>
      </c>
      <c r="K152" s="100" t="s">
        <v>644</v>
      </c>
      <c r="L152" s="185" t="s">
        <v>137</v>
      </c>
      <c r="M152" s="185" t="s">
        <v>534</v>
      </c>
      <c r="N152" s="185"/>
      <c r="O152" s="99" t="s">
        <v>367</v>
      </c>
      <c r="P152" s="228" t="s">
        <v>212</v>
      </c>
      <c r="Q152" s="99" t="s">
        <v>225</v>
      </c>
      <c r="R152" s="232" t="s">
        <v>206</v>
      </c>
    </row>
    <row r="153" spans="1:18" ht="20">
      <c r="A153" s="46" t="s">
        <v>57</v>
      </c>
      <c r="B153" s="69" t="str">
        <f t="shared" si="18"/>
        <v>AA</v>
      </c>
      <c r="C153" s="150" t="str">
        <f t="shared" si="19"/>
        <v>Aa3</v>
      </c>
      <c r="E153" s="136" t="s">
        <v>57</v>
      </c>
      <c r="F153" s="143" t="str">
        <f t="shared" si="20"/>
        <v>Aa3</v>
      </c>
      <c r="G153" s="211" t="str">
        <f t="shared" si="16"/>
        <v>AA</v>
      </c>
      <c r="H153" s="212" t="str">
        <f t="shared" si="17"/>
        <v>AA-</v>
      </c>
      <c r="K153" s="100" t="s">
        <v>71</v>
      </c>
      <c r="L153" s="185" t="s">
        <v>80</v>
      </c>
      <c r="M153" s="185" t="s">
        <v>80</v>
      </c>
      <c r="N153" s="187"/>
      <c r="O153" s="99" t="s">
        <v>70</v>
      </c>
      <c r="P153" s="229" t="s">
        <v>611</v>
      </c>
      <c r="Q153" s="99" t="s">
        <v>68</v>
      </c>
      <c r="R153" s="232" t="s">
        <v>232</v>
      </c>
    </row>
    <row r="154" spans="1:18" ht="20">
      <c r="A154" s="46" t="s">
        <v>345</v>
      </c>
      <c r="B154" s="69" t="str">
        <f t="shared" si="18"/>
        <v>AA+</v>
      </c>
      <c r="C154" s="150" t="str">
        <f t="shared" si="19"/>
        <v>Aa1</v>
      </c>
      <c r="E154" s="136" t="s">
        <v>345</v>
      </c>
      <c r="F154" s="143" t="str">
        <f>L149</f>
        <v>Aa1</v>
      </c>
      <c r="G154" s="211" t="str">
        <f t="shared" si="16"/>
        <v>AA+</v>
      </c>
      <c r="H154" s="212" t="str">
        <f>R157</f>
        <v>AA+</v>
      </c>
      <c r="K154" s="205" t="s">
        <v>189</v>
      </c>
      <c r="L154" s="187" t="s">
        <v>58</v>
      </c>
      <c r="M154" s="187" t="s">
        <v>58</v>
      </c>
      <c r="O154" s="99" t="s">
        <v>71</v>
      </c>
      <c r="P154" s="228" t="s">
        <v>213</v>
      </c>
      <c r="Q154" s="99" t="s">
        <v>60</v>
      </c>
      <c r="R154" s="232" t="s">
        <v>207</v>
      </c>
    </row>
    <row r="155" spans="1:18" ht="20">
      <c r="A155" s="46" t="s">
        <v>69</v>
      </c>
      <c r="B155" s="69" t="str">
        <f t="shared" si="18"/>
        <v>BBB+</v>
      </c>
      <c r="C155" s="150" t="str">
        <f t="shared" si="19"/>
        <v>Baa1</v>
      </c>
      <c r="E155" s="136" t="s">
        <v>69</v>
      </c>
      <c r="F155" s="143" t="str">
        <f t="shared" si="20"/>
        <v>Baa1</v>
      </c>
      <c r="G155" s="211" t="str">
        <f t="shared" si="16"/>
        <v>BBB+</v>
      </c>
      <c r="H155" s="212" t="str">
        <f t="shared" si="17"/>
        <v>BBB</v>
      </c>
      <c r="O155" s="99" t="s">
        <v>189</v>
      </c>
      <c r="P155" s="230" t="s">
        <v>215</v>
      </c>
      <c r="Q155" s="99" t="s">
        <v>57</v>
      </c>
      <c r="R155" s="232" t="s">
        <v>207</v>
      </c>
    </row>
    <row r="156" spans="1:18" ht="19">
      <c r="A156" s="133" t="s">
        <v>367</v>
      </c>
      <c r="B156" s="69" t="str">
        <f t="shared" si="18"/>
        <v>BB</v>
      </c>
      <c r="C156" s="150" t="str">
        <f t="shared" si="19"/>
        <v>Ba3</v>
      </c>
      <c r="E156" s="136" t="s">
        <v>367</v>
      </c>
      <c r="F156" s="143" t="str">
        <f t="shared" si="20"/>
        <v>Ba3</v>
      </c>
      <c r="G156" s="211" t="str">
        <f t="shared" si="16"/>
        <v>BB</v>
      </c>
      <c r="H156" s="212" t="str">
        <f t="shared" si="17"/>
        <v>BB</v>
      </c>
      <c r="O156" s="99"/>
      <c r="P156" s="207"/>
      <c r="Q156" s="99" t="s">
        <v>69</v>
      </c>
      <c r="R156" s="232" t="s">
        <v>203</v>
      </c>
    </row>
    <row r="157" spans="1:18" ht="19">
      <c r="A157" s="46" t="s">
        <v>70</v>
      </c>
      <c r="B157" s="69" t="str">
        <f t="shared" si="18"/>
        <v>N/A</v>
      </c>
      <c r="C157" s="150" t="str">
        <f t="shared" si="19"/>
        <v>C</v>
      </c>
      <c r="E157" s="136" t="s">
        <v>70</v>
      </c>
      <c r="F157" s="143" t="s">
        <v>137</v>
      </c>
      <c r="G157" s="211" t="str">
        <f t="shared" si="16"/>
        <v>N/A</v>
      </c>
      <c r="H157" s="212" t="str">
        <f t="shared" si="17"/>
        <v>NR</v>
      </c>
      <c r="O157" s="99"/>
      <c r="P157" s="207"/>
      <c r="Q157" s="99" t="s">
        <v>636</v>
      </c>
      <c r="R157" s="232" t="s">
        <v>201</v>
      </c>
    </row>
    <row r="158" spans="1:18" ht="19">
      <c r="A158" s="46" t="s">
        <v>71</v>
      </c>
      <c r="B158" s="69" t="str">
        <f t="shared" si="18"/>
        <v>BB+</v>
      </c>
      <c r="C158" s="150" t="str">
        <f t="shared" si="19"/>
        <v>Ba2</v>
      </c>
      <c r="E158" s="136" t="s">
        <v>71</v>
      </c>
      <c r="F158" s="143" t="str">
        <f t="shared" si="20"/>
        <v>Ba2</v>
      </c>
      <c r="G158" s="211" t="str">
        <f t="shared" si="16"/>
        <v>BB+</v>
      </c>
      <c r="H158" s="212" t="str">
        <f t="shared" si="17"/>
        <v>BB+</v>
      </c>
      <c r="O158" s="99"/>
      <c r="P158" s="161"/>
      <c r="Q158" s="99" t="s">
        <v>367</v>
      </c>
      <c r="R158" s="232" t="s">
        <v>212</v>
      </c>
    </row>
    <row r="159" spans="1:18" ht="19">
      <c r="A159" s="46" t="s">
        <v>189</v>
      </c>
      <c r="B159" s="69" t="str">
        <f t="shared" si="18"/>
        <v>CCC+</v>
      </c>
      <c r="C159" s="150" t="str">
        <f t="shared" si="19"/>
        <v>Caa2</v>
      </c>
      <c r="E159" s="136" t="s">
        <v>189</v>
      </c>
      <c r="F159" s="143" t="str">
        <f t="shared" si="20"/>
        <v>Caa2</v>
      </c>
      <c r="G159" s="211" t="str">
        <f t="shared" si="16"/>
        <v>CCC+</v>
      </c>
      <c r="H159" s="212" t="str">
        <f t="shared" si="17"/>
        <v>B-</v>
      </c>
      <c r="O159" s="99"/>
      <c r="P159" s="207"/>
      <c r="Q159" s="99" t="s">
        <v>70</v>
      </c>
      <c r="R159" s="232" t="s">
        <v>272</v>
      </c>
    </row>
    <row r="160" spans="1:18" ht="19">
      <c r="O160" s="99"/>
      <c r="P160" s="160"/>
      <c r="Q160" s="99" t="s">
        <v>71</v>
      </c>
      <c r="R160" s="232" t="s">
        <v>213</v>
      </c>
    </row>
    <row r="161" spans="17:18" ht="17">
      <c r="Q161" s="99" t="s">
        <v>189</v>
      </c>
      <c r="R161" s="232" t="s">
        <v>197</v>
      </c>
    </row>
    <row r="162" spans="17:18">
      <c r="Q162" s="99"/>
      <c r="R162" s="208"/>
    </row>
    <row r="163" spans="17:18">
      <c r="Q163" s="99"/>
      <c r="R163" s="208"/>
    </row>
    <row r="164" spans="17:18">
      <c r="Q164" s="99"/>
      <c r="R164" s="208"/>
    </row>
    <row r="165" spans="17:18">
      <c r="Q165" s="99"/>
      <c r="R165" s="208"/>
    </row>
    <row r="166" spans="17:18">
      <c r="Q166" s="99"/>
      <c r="R166" s="208"/>
    </row>
    <row r="167" spans="17:18">
      <c r="Q167" s="99"/>
      <c r="R167" s="208"/>
    </row>
    <row r="168" spans="17:18">
      <c r="Q168" s="99"/>
      <c r="R168" s="208"/>
    </row>
    <row r="169" spans="17:18">
      <c r="Q169" s="99"/>
      <c r="R169" s="208"/>
    </row>
    <row r="170" spans="17:18">
      <c r="Q170" s="99"/>
      <c r="R170" s="208"/>
    </row>
    <row r="171" spans="17:18">
      <c r="Q171" s="99"/>
      <c r="R171" s="208"/>
    </row>
    <row r="172" spans="17:18">
      <c r="Q172" s="99"/>
      <c r="R172" s="208"/>
    </row>
    <row r="173" spans="17:18">
      <c r="Q173" s="99"/>
      <c r="R173" s="208"/>
    </row>
    <row r="174" spans="17:18">
      <c r="Q174" s="99"/>
      <c r="R174" s="208"/>
    </row>
    <row r="175" spans="17:18">
      <c r="Q175" s="99"/>
      <c r="R175" s="208"/>
    </row>
    <row r="176" spans="17:18">
      <c r="Q176" s="99"/>
      <c r="R176" s="208"/>
    </row>
    <row r="177" spans="17:18">
      <c r="Q177" s="99"/>
      <c r="R177" s="208"/>
    </row>
    <row r="178" spans="17:18">
      <c r="Q178" s="99"/>
      <c r="R178" s="208"/>
    </row>
    <row r="179" spans="17:18">
      <c r="Q179" s="99"/>
      <c r="R179" s="208"/>
    </row>
    <row r="180" spans="17:18">
      <c r="Q180" s="99"/>
      <c r="R180" s="208"/>
    </row>
    <row r="181" spans="17:18">
      <c r="Q181" s="99"/>
      <c r="R181" s="208"/>
    </row>
    <row r="182" spans="17:18">
      <c r="Q182" s="99"/>
      <c r="R182" s="208"/>
    </row>
    <row r="183" spans="17:18">
      <c r="Q183" s="99"/>
      <c r="R183" s="208"/>
    </row>
    <row r="184" spans="17:18">
      <c r="Q184" s="99"/>
      <c r="R184" s="208"/>
    </row>
    <row r="185" spans="17:18">
      <c r="Q185" s="99"/>
      <c r="R185" s="208"/>
    </row>
    <row r="186" spans="17:18">
      <c r="Q186" s="99"/>
      <c r="R186" s="208"/>
    </row>
    <row r="187" spans="17:18">
      <c r="Q187" s="99"/>
      <c r="R187" s="208"/>
    </row>
    <row r="188" spans="17:18">
      <c r="Q188" s="99"/>
      <c r="R188" s="208"/>
    </row>
    <row r="189" spans="17:18">
      <c r="Q189" s="99"/>
      <c r="R189" s="208"/>
    </row>
    <row r="190" spans="17:18">
      <c r="Q190" s="99"/>
      <c r="R190" s="208"/>
    </row>
    <row r="191" spans="17:18">
      <c r="Q191" s="99"/>
      <c r="R191" s="208"/>
    </row>
    <row r="192" spans="17:18">
      <c r="Q192" s="99"/>
      <c r="R192" s="208"/>
    </row>
    <row r="193" spans="17:18">
      <c r="Q193" s="99"/>
      <c r="R193" s="208"/>
    </row>
    <row r="194" spans="17:18">
      <c r="Q194" s="99"/>
      <c r="R194" s="208"/>
    </row>
    <row r="195" spans="17:18">
      <c r="Q195" s="99"/>
      <c r="R195" s="209"/>
    </row>
    <row r="196" spans="17:18">
      <c r="Q196" s="99"/>
      <c r="R196" s="208"/>
    </row>
    <row r="197" spans="17:18">
      <c r="Q197" s="99"/>
      <c r="R197" s="208"/>
    </row>
    <row r="198" spans="17:18">
      <c r="Q198" s="99"/>
      <c r="R198" s="208"/>
    </row>
    <row r="199" spans="17:18">
      <c r="Q199" s="99"/>
      <c r="R199" s="208"/>
    </row>
  </sheetData>
  <hyperlinks>
    <hyperlink ref="O8" r:id="rId1" display="https://tradingeconomics.com/australia/rating" xr:uid="{F77E3DA2-76FC-1C42-B0E1-2FCF95F26688}"/>
    <hyperlink ref="O28" r:id="rId2" display="https://tradingeconomics.com/canada/rating" xr:uid="{886F6F86-9A30-BD44-8CAA-04B0BD0135C4}"/>
    <hyperlink ref="O40" r:id="rId3" display="https://tradingeconomics.com/denmark/rating" xr:uid="{4B3D70A6-46FF-A54C-9C34-CE2FBD7DC088}"/>
    <hyperlink ref="O53" r:id="rId4" display="https://tradingeconomics.com/germany/rating" xr:uid="{79252CF6-0B7A-E748-804E-FDEB475E7143}"/>
    <hyperlink ref="O80" r:id="rId5" display="https://tradingeconomics.com/liechtenstein/rating" xr:uid="{CE41A2E4-1477-4C4B-9E4D-2B730A79F71C}"/>
    <hyperlink ref="O82" r:id="rId6" display="https://tradingeconomics.com/luxembourg/rating" xr:uid="{B4272DF3-1D5E-C64B-831A-F43BA1F3DCD9}"/>
    <hyperlink ref="O99" r:id="rId7" display="https://tradingeconomics.com/netherlands/rating" xr:uid="{097425A2-C849-3943-83E8-7FD3134B35B6}"/>
    <hyperlink ref="O136" r:id="rId8" display="https://tradingeconomics.com/switzerland/rating" xr:uid="{9933DE68-8AF5-8448-A104-1DE77E7A6A21}"/>
    <hyperlink ref="O104" r:id="rId9" display="https://tradingeconomics.com/norway/rating" xr:uid="{79CF7E43-CC57-9E4B-8552-A82D884C2D7A}"/>
    <hyperlink ref="O135" r:id="rId10" display="https://tradingeconomics.com/sweden/rating" xr:uid="{43CA16B5-4D0A-5746-AB53-FC5AD49B2982}"/>
    <hyperlink ref="O124" r:id="rId11" display="https://tradingeconomics.com/singapore/rating" xr:uid="{46757B39-CCB7-0C44-9BAE-E7DD4FD363F8}"/>
    <hyperlink ref="O47" r:id="rId12" display="https://tradingeconomics.com/european-union/rating" xr:uid="{691A34DA-0E7F-324E-8D6E-67B51550B469}"/>
    <hyperlink ref="O150" r:id="rId13" display="https://tradingeconomics.com/united-states/rating" xr:uid="{077F54DB-F070-FC4A-AEA3-6FC03810880F}"/>
    <hyperlink ref="O49" r:id="rId14" display="https://tradingeconomics.com/finland/rating" xr:uid="{56D86A31-FBE1-CC48-8D0C-5703A289EE93}"/>
    <hyperlink ref="O100" r:id="rId15" display="https://tradingeconomics.com/new-zealand/rating" xr:uid="{6F481F41-CBF8-8848-AEA4-F7165F3506F7}"/>
    <hyperlink ref="O9" r:id="rId16" display="https://tradingeconomics.com/austria/rating" xr:uid="{0D92AC3C-5EE9-B048-8A57-B30713DDF4C0}"/>
    <hyperlink ref="O137" r:id="rId17" display="https://tradingeconomics.com/taiwan/rating" xr:uid="{E698F6EF-7EFA-7E49-B135-360AF38670BF}"/>
    <hyperlink ref="O148" r:id="rId18" display="https://tradingeconomics.com/united-arab-emirates/rating" xr:uid="{7B0CA289-1C22-6C4B-A825-D6816D28E656}"/>
    <hyperlink ref="O58" r:id="rId19" display="https://tradingeconomics.com/hong-kong/rating" xr:uid="{081D9C3B-20EE-AE42-B748-725D79882A3C}"/>
    <hyperlink ref="O64" r:id="rId20" display="https://tradingeconomics.com/ireland/rating" xr:uid="{E9FA5E96-0310-F84E-B336-5FDE2DFE36EE}"/>
    <hyperlink ref="O114" r:id="rId21" display="https://tradingeconomics.com/qatar/rating" xr:uid="{973BE209-3FA9-C34A-98B5-2206805D81D2}"/>
    <hyperlink ref="O16" r:id="rId22" display="https://tradingeconomics.com/belgium/rating" xr:uid="{D5F07F6A-9289-2441-AA02-AE89AA95AE86}"/>
    <hyperlink ref="O65" r:id="rId23" display="https://tradingeconomics.com/isle-of-man/rating" xr:uid="{47E80668-4E60-CE4B-96FE-C4794D8DC5AB}"/>
    <hyperlink ref="O83" r:id="rId24" display="https://tradingeconomics.com/macau/rating" xr:uid="{99C40E43-ACCF-A94D-8618-E35BCBED8C55}"/>
    <hyperlink ref="O149" r:id="rId25" display="https://tradingeconomics.com/united-kingdom/rating" xr:uid="{259F61D2-3638-A141-ADDB-77D908D6058E}"/>
    <hyperlink ref="O129" r:id="rId26" display="https://tradingeconomics.com/south-korea/rating" xr:uid="{C3D6F9FC-3D67-E945-A7F5-7E61D1820794}"/>
    <hyperlink ref="O30" r:id="rId27" display="https://tradingeconomics.com/cayman-islands/rating" xr:uid="{D04B29B7-06A6-494B-AD8F-CFD5C04E9BD8}"/>
    <hyperlink ref="O39" r:id="rId28" display="https://tradingeconomics.com/czech-republic/rating" xr:uid="{22BEE4CA-AD6F-1A4C-A6D5-5F76526A446D}"/>
    <hyperlink ref="O50" r:id="rId29" display="https://tradingeconomics.com/france/rating" xr:uid="{F2FF6663-88EE-424B-8364-751067E48E71}"/>
    <hyperlink ref="O74" r:id="rId30" display="https://tradingeconomics.com/kuwait/rating" xr:uid="{5F3F7196-4800-4F48-8D90-CB7E28F20AD4}"/>
    <hyperlink ref="O45" r:id="rId31" display="https://tradingeconomics.com/estonia/rating" xr:uid="{2757CB6F-FD83-834A-93B6-AC9FAD53EC58}"/>
    <hyperlink ref="O120" r:id="rId32" display="https://tradingeconomics.com/saudi-arabia/rating" xr:uid="{49DEC570-B546-A744-BD38-E61EBEE8343D}"/>
    <hyperlink ref="O33" r:id="rId33" display="https://tradingeconomics.com/china/rating" xr:uid="{1CA915DD-C0D1-104A-A7F1-85D8964C2E41}"/>
    <hyperlink ref="O60" r:id="rId34" display="https://tradingeconomics.com/iceland/rating" xr:uid="{BB56DD9C-D50A-B440-8B90-409FD70BCE6F}"/>
    <hyperlink ref="O126" r:id="rId35" display="https://tradingeconomics.com/slovenia/rating" xr:uid="{1DF133B9-2FE3-6947-8461-7BDF3D167874}"/>
    <hyperlink ref="O19" r:id="rId36" display="https://tradingeconomics.com/bermuda/rating" xr:uid="{32DEEC6E-AF72-DF46-87E4-65E48E97CF2C}"/>
    <hyperlink ref="O70" r:id="rId37" display="https://tradingeconomics.com/japan/rating" xr:uid="{56F06783-CFB9-B04E-9493-03DD17155750}"/>
    <hyperlink ref="O81" r:id="rId38" display="https://tradingeconomics.com/lithuania/rating" xr:uid="{F4909FB8-D845-5A4C-92C3-CB52B08978C1}"/>
    <hyperlink ref="O89" r:id="rId39" display="https://tradingeconomics.com/malta/rating" xr:uid="{A577C957-2FC8-4D4F-B9E6-27882A57CB20}"/>
    <hyperlink ref="O32" r:id="rId40" display="https://tradingeconomics.com/chile/rating" xr:uid="{FF84DB95-76A2-6B42-857D-E5F86A7928F3}"/>
    <hyperlink ref="O113" r:id="rId41" display="https://tradingeconomics.com/portugal/rating" xr:uid="{1E96D85F-A7D8-A14E-A463-B43FC76E05DD}"/>
    <hyperlink ref="O125" r:id="rId42" display="https://tradingeconomics.com/slovakia/rating" xr:uid="{E2EEA450-2933-DF40-AC99-D563CFAB6BB6}"/>
    <hyperlink ref="O77" r:id="rId43" display="https://tradingeconomics.com/latvia/rating" xr:uid="{C2E7859E-BA03-1B47-9E9D-227996C7B1E0}"/>
    <hyperlink ref="O112" r:id="rId44" display="https://tradingeconomics.com/poland/rating" xr:uid="{94D911BB-696D-8740-A34B-39ABA5CF28BB}"/>
    <hyperlink ref="O130" r:id="rId45" display="https://tradingeconomics.com/spain/rating" xr:uid="{B84398AD-C313-2444-BE57-953F55A0213C}"/>
    <hyperlink ref="O38" r:id="rId46" display="https://tradingeconomics.com/cyprus/rating" xr:uid="{283AE445-938D-9F49-B825-1A72985B61AF}"/>
    <hyperlink ref="O66" r:id="rId47" display="https://tradingeconomics.com/israel/rating" xr:uid="{A3A5A7AA-B8AB-5241-9648-99E63784EE38}"/>
    <hyperlink ref="O37" r:id="rId48" display="https://tradingeconomics.com/croatia/rating" xr:uid="{83598FB0-E246-D547-90C4-862652C54C33}"/>
    <hyperlink ref="O3" r:id="rId49" display="https://tradingeconomics.com/andorra/rating" xr:uid="{6F0BB031-DD5C-AA4F-948D-EF35F221605D}"/>
    <hyperlink ref="O86" r:id="rId50" display="https://tradingeconomics.com/malaysia/rating" xr:uid="{EE7D75E9-F7E7-FF4C-BAB2-88A73F04088D}"/>
    <hyperlink ref="O22" r:id="rId51" display="https://tradingeconomics.com/botswana/rating" xr:uid="{D36B6CBE-0428-4F45-AECE-971739061F9B}"/>
    <hyperlink ref="O67" r:id="rId52" display="https://tradingeconomics.com/italy/rating" xr:uid="{46D5F98A-7A09-944D-9F2B-0E4D2B54A8E5}"/>
    <hyperlink ref="O140" r:id="rId53" display="https://tradingeconomics.com/thailand/rating" xr:uid="{0089CFEB-90F9-A242-83C9-1359CCDDE785}"/>
    <hyperlink ref="O24" r:id="rId54" display="https://tradingeconomics.com/bulgaria/rating" xr:uid="{23F79A0F-9004-D848-B2D2-266C3F1F6237}"/>
    <hyperlink ref="O111" r:id="rId55" display="https://tradingeconomics.com/philippines/rating" xr:uid="{0EBB826A-7C2B-2F49-BDCC-C947CC3DDC00}"/>
    <hyperlink ref="O151" r:id="rId56" display="https://tradingeconomics.com/uruguay/rating" xr:uid="{A178FDA6-AD61-C54B-997E-80308BAF5C4C}"/>
    <hyperlink ref="O62" r:id="rId57" display="https://tradingeconomics.com/indonesia/rating" xr:uid="{D437C1AD-5563-DF4B-9443-22FC34C1F26B}"/>
    <hyperlink ref="O72" r:id="rId58" display="https://tradingeconomics.com/kazakhstan/rating" xr:uid="{3EF695AA-7B2A-D544-B352-95ECB539923D}"/>
    <hyperlink ref="O110" r:id="rId59" display="https://tradingeconomics.com/peru/rating" xr:uid="{5E9AC3D9-4B6E-9742-9838-09E75C160E47}"/>
    <hyperlink ref="O59" r:id="rId60" display="https://tradingeconomics.com/hungary/rating" xr:uid="{79024B73-523B-464C-82F0-2453003FAB4C}"/>
    <hyperlink ref="O91" r:id="rId61" display="https://tradingeconomics.com/mexico/rating" xr:uid="{7465E0B2-D96A-B648-BF9F-37B459A6AA3F}"/>
    <hyperlink ref="O119" r:id="rId62" display="https://tradingeconomics.com/san-marino/rating" xr:uid="{46474DEE-75AB-DA4F-BCCA-77C9E7B924C5}"/>
    <hyperlink ref="O7" r:id="rId63" display="https://tradingeconomics.com/aruba/rating" xr:uid="{DFA4DC65-E5A9-864B-A767-503226D2A47C}"/>
    <hyperlink ref="O55" r:id="rId64" display="https://tradingeconomics.com/greece/rating" xr:uid="{E0BA8001-70EE-9F43-BA07-9F0B05D1BB73}"/>
    <hyperlink ref="O61" r:id="rId65" display="https://tradingeconomics.com/india/rating" xr:uid="{137F02AB-F2D3-734A-919A-D74D43897CFC}"/>
    <hyperlink ref="O90" r:id="rId66" display="https://tradingeconomics.com/mauritius/rating" xr:uid="{B8D3DF40-EE78-EA40-B915-7EE97ACAD916}"/>
    <hyperlink ref="O95" display="Montserrat" xr:uid="{8D9EEDB0-4E44-504F-A251-9312189C0848}"/>
    <hyperlink ref="O116" r:id="rId67" display="https://tradingeconomics.com/romania/rating" xr:uid="{9D7B093C-9939-8E4A-A2BF-E725F4D9509F}"/>
    <hyperlink ref="O10" r:id="rId68" display="https://tradingeconomics.com/azerbaijan/rating" xr:uid="{6DD544DE-3BF2-1D48-B563-9F7F6D0DB53E}"/>
    <hyperlink ref="O105" r:id="rId69" display="https://tradingeconomics.com/oman/rating" xr:uid="{1CFBD3A5-8718-A243-BB04-B27075232CF4}"/>
    <hyperlink ref="O107" r:id="rId70" display="https://tradingeconomics.com/panama/rating" xr:uid="{03BB8E1B-ABC1-1A44-90A0-832729A11544}"/>
    <hyperlink ref="O34" r:id="rId71" display="https://tradingeconomics.com/colombia/rating" xr:uid="{A129A76E-3758-CF46-ACBB-AE31E2CE052F}"/>
    <hyperlink ref="O109" r:id="rId72" display="https://tradingeconomics.com/paraguay/rating" xr:uid="{1B73D3BC-ED45-4F47-8111-4043EDE4446A}"/>
    <hyperlink ref="O96" r:id="rId73" display="https://tradingeconomics.com/morocco/rating" xr:uid="{0EFED10F-1EB0-6940-9B46-4E465FD81715}"/>
    <hyperlink ref="O142" r:id="rId74" display="https://tradingeconomics.com/trinidad-and-tobago/rating" xr:uid="{B0A45FB3-5FD2-254D-ABE2-308476872915}"/>
    <hyperlink ref="O56" r:id="rId75" display="https://tradingeconomics.com/guatemala/rating" xr:uid="{75512DBD-8004-A74C-95BB-2A957F04E0A7}"/>
    <hyperlink ref="O122" r:id="rId76" display="https://tradingeconomics.com/serbia/rating" xr:uid="{21BCF9DB-E422-A241-A9CA-014232087A89}"/>
    <hyperlink ref="O23" r:id="rId77" display="https://tradingeconomics.com/brazil/rating" xr:uid="{0CC1F2B1-8FDA-0B48-B586-865C125C683D}"/>
    <hyperlink ref="O154" r:id="rId78" display="https://tradingeconomics.com/vietnam/rating" xr:uid="{159F8703-31E3-5946-A7AD-4D7C2286B740}"/>
    <hyperlink ref="O52" r:id="rId79" display="https://tradingeconomics.com/georgia/rating" xr:uid="{1603AE87-5ECF-B849-BCA8-E0B297DB0546}"/>
    <hyperlink ref="O84" r:id="rId80" display="https://tradingeconomics.com/macedonia/rating" xr:uid="{6D3D74A3-D3A2-714E-B06B-180BE5B6E6F4}"/>
    <hyperlink ref="O36" r:id="rId81" display="https://tradingeconomics.com/costa-rica/rating" xr:uid="{B3F9DC87-3CBF-E440-BE1D-DF689CF0F456}"/>
    <hyperlink ref="O68" r:id="rId82" display="https://tradingeconomics.com/ivory-coast/rating" xr:uid="{69AA6F44-B96E-DC43-9268-4109F0D7FB0A}"/>
    <hyperlink ref="O41" r:id="rId83" display="https://tradingeconomics.com/dominican-republic/rating" xr:uid="{0F43AC15-C093-2E49-8EB2-E569BCB582F8}"/>
    <hyperlink ref="O128" r:id="rId84" display="https://tradingeconomics.com/south-africa/rating" xr:uid="{27519F69-135D-3147-96BE-8BFF71B9CE47}"/>
    <hyperlink ref="O152" r:id="rId85" display="https://tradingeconomics.com/uzbekistan/rating" xr:uid="{FBB33CC9-8ECD-3F4C-BBFE-B40B9D6D035E}"/>
    <hyperlink ref="O2" r:id="rId86" display="https://tradingeconomics.com/albania/rating" xr:uid="{7365B3A7-3326-7248-B816-DD09FC14EFE3}"/>
    <hyperlink ref="O69" r:id="rId87" display="https://tradingeconomics.com/jamaica/rating" xr:uid="{E0522082-1A15-584C-9520-FF3398F9654C}"/>
    <hyperlink ref="O123" r:id="rId88" display="https://tradingeconomics.com/seychelles/rating" xr:uid="{C3767C5B-B0C4-4C40-AC79-B3D1AC70A391}"/>
    <hyperlink ref="O6" r:id="rId89" display="https://tradingeconomics.com/armenia/rating" xr:uid="{070FB21B-8FCE-AD4C-9B5E-321EC6A13AC6}"/>
    <hyperlink ref="O71" r:id="rId90" display="https://tradingeconomics.com/jordan/rating" xr:uid="{6A81B09C-5532-564C-B71D-C7350DA11B63}"/>
    <hyperlink ref="O144" r:id="rId91" display="https://tradingeconomics.com/turkey/rating" xr:uid="{2BF80F94-B374-F843-BC61-7A502495DD96}"/>
    <hyperlink ref="O57" r:id="rId92" display="https://tradingeconomics.com/honduras/rating" xr:uid="{F0DFDA0C-8EAA-3940-A898-5A68AA0D7FF6}"/>
    <hyperlink ref="O98" r:id="rId93" display="https://tradingeconomics.com/namibia/rating" xr:uid="{85BF7FA8-6125-A84A-BCB5-2D96E49888F0}"/>
    <hyperlink ref="O11" r:id="rId94" display="https://tradingeconomics.com/bahamas/rating" xr:uid="{39BF4A02-985F-A343-810A-1180C8280E56}"/>
    <hyperlink ref="O18" r:id="rId95" display="https://tradingeconomics.com/benin/rating" xr:uid="{E1242FD3-A1D5-4747-A6C8-46F9A7B74AFD}"/>
    <hyperlink ref="O13" r:id="rId96" display="https://tradingeconomics.com/bangladesh/rating" xr:uid="{84E60D26-577B-AD40-898C-4D695106BD0E}"/>
    <hyperlink ref="O48" r:id="rId97" display="https://tradingeconomics.com/fiji/rating" xr:uid="{9A48C201-AF12-BA48-8578-05E981DBC56E}"/>
    <hyperlink ref="O93" r:id="rId98" display="https://tradingeconomics.com/mongolia/rating" xr:uid="{81A9009E-E69E-A24B-A372-016049283852}"/>
    <hyperlink ref="O94" r:id="rId99" display="https://tradingeconomics.com/montenegro/rating" xr:uid="{A6115ECE-1961-ED46-BC25-9EFF1E5D4862}"/>
    <hyperlink ref="O145" r:id="rId100" display="https://tradingeconomics.com/turkmenistan/rating" xr:uid="{DC95782F-C999-9345-A51A-66A38E39CA31}"/>
    <hyperlink ref="O12" r:id="rId101" display="https://tradingeconomics.com/bahrain/rating" xr:uid="{46A74EB6-68BD-9E45-9E9A-F05C8A46A4D8}"/>
    <hyperlink ref="O118" r:id="rId102" display="https://tradingeconomics.com/rwanda/rating" xr:uid="{5EB0B37B-4F14-B24C-9C76-3914E76CEBF9}"/>
    <hyperlink ref="O139" r:id="rId103" display="https://tradingeconomics.com/tanzania/rating" xr:uid="{342CAF58-5BA3-7947-BD03-8BD3691D577F}"/>
    <hyperlink ref="O14" r:id="rId104" display="https://tradingeconomics.com/barbados/rating" xr:uid="{BD283C6E-CAFC-6A45-B795-E6CF224B16EA}"/>
    <hyperlink ref="O26" r:id="rId105" display="https://tradingeconomics.com/cambodia/rating" xr:uid="{92A57B99-B9D6-AF44-B21E-05FDCBC49C3F}"/>
    <hyperlink ref="O29" r:id="rId106" display="https://tradingeconomics.com/cape-verde/rating" xr:uid="{5CA61479-4E92-BF43-99F6-C3A8F3ED4553}"/>
    <hyperlink ref="O75" r:id="rId107" display="https://tradingeconomics.com/kyrgyzstan/rating" xr:uid="{317543F0-97DA-2F4E-AD12-870211309F0B}"/>
    <hyperlink ref="O79" r:id="rId108" display="https://tradingeconomics.com/lesotho/rating" xr:uid="{C289FE10-E530-8D4E-AEEC-19CC8CCAB95B}"/>
    <hyperlink ref="O92" r:id="rId109" display="https://tradingeconomics.com/moldova/rating" xr:uid="{F03BDCDD-CBED-F441-9883-35213E759238}"/>
    <hyperlink ref="O101" r:id="rId110" display="https://tradingeconomics.com/nicaragua/rating" xr:uid="{EA94CFF6-2498-3C43-8CCC-9F7DB8C49AE7}"/>
    <hyperlink ref="O155" r:id="rId111" display="https://tradingeconomics.com/zambia/rating" xr:uid="{FEF59B19-039C-5F42-A41E-F742CDC80386}"/>
    <hyperlink ref="O21" r:id="rId112" display="https://tradingeconomics.com/bosnia-and-herzegovina/rating" xr:uid="{1A034A04-75E3-4D4C-8398-E7A901E766FD}"/>
    <hyperlink ref="O108" r:id="rId113" display="https://tradingeconomics.com/papua-new-guinea/rating" xr:uid="{CD6A210C-ABB7-8D4E-AB05-CCF47FD789AB}"/>
    <hyperlink ref="O138" r:id="rId114" display="https://tradingeconomics.com/tajikistan/rating" xr:uid="{9CFF40D4-6CF9-BA40-9D55-C379BC3770F2}"/>
    <hyperlink ref="O141" r:id="rId115" display="https://tradingeconomics.com/togo/rating" xr:uid="{5613F003-3FCC-5445-A711-19D3F7AEC54F}"/>
    <hyperlink ref="O103" r:id="rId116" display="https://tradingeconomics.com/nigeria/rating" xr:uid="{49881CF6-B512-FA4A-9CE0-C5CF93958384}"/>
    <hyperlink ref="O146" r:id="rId117" display="https://tradingeconomics.com/uganda/rating" xr:uid="{9C05ED30-E706-804A-9D33-B075680517B1}"/>
    <hyperlink ref="O4" r:id="rId118" display="https://tradingeconomics.com/angola/rating" xr:uid="{5E1E5E32-CBE5-2B47-BD6D-A83D56B63552}"/>
    <hyperlink ref="O31" r:id="rId119" display="https://tradingeconomics.com/chad/rating" xr:uid="{F4BF3ACF-4833-B946-AE69-27857AC4766D}"/>
    <hyperlink ref="O43" r:id="rId120" display="https://tradingeconomics.com/egypt/rating" xr:uid="{0CB71761-238E-FF4F-A08A-E4543A99F167}"/>
    <hyperlink ref="O85" r:id="rId121" display="https://tradingeconomics.com/madagascar/rating" xr:uid="{F7810D84-A567-8C49-9EFD-93B288B67A7F}"/>
    <hyperlink ref="O127" r:id="rId122" display="https://tradingeconomics.com/solomon-islands/rating" xr:uid="{9BDD34D2-CB28-D049-9D92-8D923C8A8508}"/>
    <hyperlink ref="O132" r:id="rId123" display="https://tradingeconomics.com/st-vincent-and-the-grenadines/rating" xr:uid="{5309628D-C061-DD4D-85C4-D843B55A084D}"/>
    <hyperlink ref="O134" r:id="rId124" display="https://tradingeconomics.com/swaziland/rating" xr:uid="{E612F36C-546A-0C48-A41C-5BE5A532C47A}"/>
    <hyperlink ref="O27" r:id="rId125" display="https://tradingeconomics.com/cameroon/rating" xr:uid="{F55011DF-7FC8-2A4C-8FE8-1C3164EDE840}"/>
    <hyperlink ref="O44" r:id="rId126" display="https://tradingeconomics.com/el-salvador/rating" xr:uid="{6BB8BADD-2F65-3F45-A1B8-A80A137CA600}"/>
    <hyperlink ref="O63" r:id="rId127" display="https://tradingeconomics.com/iraq/rating" xr:uid="{A777B854-18BD-1146-A1E0-91A378DA7DEF}"/>
    <hyperlink ref="O73" r:id="rId128" display="https://tradingeconomics.com/kenya/rating" xr:uid="{E569D430-14E3-AB4F-A841-D63728F2444B}"/>
    <hyperlink ref="O143" r:id="rId129" display="https://tradingeconomics.com/tunisia/rating" xr:uid="{82CCADF1-3092-5947-A471-A6D9762D5573}"/>
    <hyperlink ref="O35" r:id="rId130" display="https://tradingeconomics.com/congo/rating" xr:uid="{D66FF36C-26D0-D540-8F82-DFAA4899D978}"/>
    <hyperlink ref="O121" r:id="rId131" display="https://tradingeconomics.com/senegal/rating" xr:uid="{33152503-763F-D746-A43C-6D5E536E5017}"/>
    <hyperlink ref="O51" r:id="rId132" display="https://tradingeconomics.com/gabon/rating" xr:uid="{267119A7-2DE0-2E47-AEBC-7F7F73C97707}"/>
    <hyperlink ref="O54" r:id="rId133" display="https://tradingeconomics.com/ghana/rating" xr:uid="{67110405-C8C1-5F4D-8AB7-BE103BAE01F8}"/>
    <hyperlink ref="O106" r:id="rId134" display="https://tradingeconomics.com/pakistan/rating" xr:uid="{64ABC67D-184D-194C-BCE7-C4F14AC7CE12}"/>
    <hyperlink ref="O17" r:id="rId135" display="https://tradingeconomics.com/belize/rating" xr:uid="{4BA082AE-4EF3-7D47-AA88-ED2C590FDE72}"/>
    <hyperlink ref="O25" r:id="rId136" display="https://tradingeconomics.com/burkina-faso/rating" xr:uid="{544E6AA4-49BF-F34A-B8D0-45475EBD7E51}"/>
    <hyperlink ref="O42" r:id="rId137" display="https://tradingeconomics.com/ecuador/rating" xr:uid="{2CAF7C65-CAB6-8241-8064-20787A880D5A}"/>
    <hyperlink ref="O87" r:id="rId138" display="https://tradingeconomics.com/maldives/rating" xr:uid="{BDA8CD28-F624-3C46-A115-8BF824C06AD7}"/>
    <hyperlink ref="O97" r:id="rId139" display="https://tradingeconomics.com/mozambique/rating" xr:uid="{029393D4-9E71-314B-AF9A-E5FE4E280E4C}"/>
    <hyperlink ref="O115" r:id="rId140" display="https://tradingeconomics.com/republic-of-the-congo/rating" xr:uid="{F3CCF286-BDF5-934C-9273-AA1D368D6177}"/>
    <hyperlink ref="O5" r:id="rId141" display="https://tradingeconomics.com/argentina/rating" xr:uid="{77EA6295-1D6E-1F47-98D3-5A49EF9373F4}"/>
    <hyperlink ref="O76" r:id="rId142" display="https://tradingeconomics.com/laos/rating" xr:uid="{727AE29D-8A37-0041-BE36-5B51A4881D45}"/>
    <hyperlink ref="O131" r:id="rId143" display="https://tradingeconomics.com/sri-lanka/rating" xr:uid="{D36FE981-7383-D544-941A-A76CC2475610}"/>
    <hyperlink ref="O133" r:id="rId144" display="https://tradingeconomics.com/suriname/rating" xr:uid="{87B20620-C8A1-DA4F-A0D8-A733CB4CCBF9}"/>
    <hyperlink ref="O20" r:id="rId145" display="https://tradingeconomics.com/bolivia/rating" xr:uid="{63CE28B6-F8D5-1E42-980A-F6D0D2093F81}"/>
    <hyperlink ref="O46" r:id="rId146" display="https://tradingeconomics.com/ethiopia/rating" xr:uid="{B5759087-8D98-4347-A6DB-94AD460D6FA6}"/>
    <hyperlink ref="O88" r:id="rId147" display="https://tradingeconomics.com/mali/rating" xr:uid="{7607307B-AF76-6A45-8936-78F17FCBA6C0}"/>
    <hyperlink ref="O102" r:id="rId148" display="https://tradingeconomics.com/niger/rating" xr:uid="{4C29D190-1B24-5640-831C-C0F624D6E661}"/>
    <hyperlink ref="O117" r:id="rId149" display="https://tradingeconomics.com/russia/rating" xr:uid="{29DBA671-1433-4C48-A4F4-64EB768FC56B}"/>
    <hyperlink ref="O15" r:id="rId150" display="https://tradingeconomics.com/belarus/rating" xr:uid="{3BA28733-9E2F-EF4B-B823-B33BE16F8203}"/>
    <hyperlink ref="O78" r:id="rId151" display="https://tradingeconomics.com/lebanon/rating" xr:uid="{AF119E39-1969-3441-806A-3B5CD2C01D46}"/>
    <hyperlink ref="O147" r:id="rId152" display="https://tradingeconomics.com/ukraine/rating" xr:uid="{4EDE6B08-CF7F-0B42-A88B-AA7C45C003ED}"/>
    <hyperlink ref="O153" r:id="rId153" display="https://tradingeconomics.com/venezuela/rating" xr:uid="{441B6CD5-508D-314B-ACFE-D89B5ACECFE2}"/>
    <hyperlink ref="Q2" r:id="rId154" display="https://www.theglobaleconomy.com/Albania/credit_rating/" xr:uid="{BFF483A1-5B36-4E41-8B35-277D21EA1D0C}"/>
    <hyperlink ref="Q3" r:id="rId155" display="https://www.theglobaleconomy.com/Andorra/credit_rating/" xr:uid="{CCA51A2B-2683-F049-ACDE-6693CF7A0A6D}"/>
    <hyperlink ref="Q4" r:id="rId156" display="https://www.theglobaleconomy.com/Angola/credit_rating/" xr:uid="{59064573-EC66-8E43-9728-E6494AF1D8C4}"/>
    <hyperlink ref="Q5" r:id="rId157" display="https://www.theglobaleconomy.com/Argentina/credit_rating/" xr:uid="{911DB09D-7515-7B45-9021-BF892B377CDF}"/>
    <hyperlink ref="Q6" r:id="rId158" display="https://www.theglobaleconomy.com/Armenia/credit_rating/" xr:uid="{7BC1D449-90EC-FB44-B074-459DF96F4E02}"/>
    <hyperlink ref="Q7" r:id="rId159" display="https://www.theglobaleconomy.com/Aruba/credit_rating/" xr:uid="{53BB93F4-75B9-F241-ADBB-24B41B0429F5}"/>
    <hyperlink ref="Q8" r:id="rId160" display="https://www.theglobaleconomy.com/Australia/credit_rating/" xr:uid="{5AE966E0-F741-0C43-8665-63B2406B452A}"/>
    <hyperlink ref="Q9" r:id="rId161" display="https://www.theglobaleconomy.com/Austria/credit_rating/" xr:uid="{5E1D99ED-1669-D84C-97CA-C3E110AC510A}"/>
    <hyperlink ref="Q10" r:id="rId162" display="https://www.theglobaleconomy.com/Azerbaijan/credit_rating/" xr:uid="{042AB804-64F5-BB43-969E-C62D804E893E}"/>
    <hyperlink ref="Q11" r:id="rId163" display="https://www.theglobaleconomy.com/Bahamas/credit_rating/" xr:uid="{13E20483-6AF7-F443-A8A5-052E85B2E6BD}"/>
    <hyperlink ref="Q12" r:id="rId164" display="https://www.theglobaleconomy.com/Bahrain/credit_rating/" xr:uid="{FD73903C-2785-D84D-B0C6-BE1101E46D5F}"/>
    <hyperlink ref="Q13" r:id="rId165" display="https://www.theglobaleconomy.com/Bangladesh/credit_rating/" xr:uid="{5A659F56-21C4-AE4A-B30D-E1DE73A47AA3}"/>
    <hyperlink ref="Q14" r:id="rId166" display="https://www.theglobaleconomy.com/Barbados/credit_rating/" xr:uid="{777ECB92-C7CD-E34D-ABCB-527F7AB730B5}"/>
    <hyperlink ref="Q15" r:id="rId167" display="https://www.theglobaleconomy.com/Belarus/credit_rating/" xr:uid="{2B58B75F-C66E-8744-8C68-DD3145E88B05}"/>
    <hyperlink ref="Q16" r:id="rId168" display="https://www.theglobaleconomy.com/Belgium/credit_rating/" xr:uid="{1CBF2048-223C-1848-AF64-E1A53A0A98E3}"/>
    <hyperlink ref="Q17" r:id="rId169" display="https://www.theglobaleconomy.com/Belize/credit_rating/" xr:uid="{5B8FA8D2-C647-6743-A42F-AB2752BB605C}"/>
    <hyperlink ref="Q18" r:id="rId170" display="https://www.theglobaleconomy.com/Benin/credit_rating/" xr:uid="{96EE7080-BF36-A140-8420-B34C23F4BB7E}"/>
    <hyperlink ref="Q19" r:id="rId171" display="https://www.theglobaleconomy.com/Bermuda/credit_rating/" xr:uid="{4278BB04-D806-2D48-8C53-B55E72679BD5}"/>
    <hyperlink ref="Q20" r:id="rId172" display="https://www.theglobaleconomy.com/Bolivia/credit_rating/" xr:uid="{6255CDF1-066F-8744-A26F-A288AD1A4B6A}"/>
    <hyperlink ref="Q21" r:id="rId173" display="https://www.theglobaleconomy.com/Bosnia-and-Herzegovina/credit_rating/" xr:uid="{7752E50B-98CD-E242-BEC1-ABA6F3278579}"/>
    <hyperlink ref="Q22" r:id="rId174" display="https://www.theglobaleconomy.com/Botswana/credit_rating/" xr:uid="{2A799871-C05F-8243-B3E3-57E54DEEBD52}"/>
    <hyperlink ref="Q23" r:id="rId175" display="https://www.theglobaleconomy.com/Brazil/credit_rating/" xr:uid="{9C3FECF2-AD3C-894F-A6C2-EEDFAC24A7A0}"/>
    <hyperlink ref="Q24" r:id="rId176" display="https://www.theglobaleconomy.com/Bulgaria/credit_rating/" xr:uid="{D3197AAA-984E-AD4A-A23F-40B350F8E76B}"/>
    <hyperlink ref="Q25" r:id="rId177" display="https://www.theglobaleconomy.com/Burkina-Faso/credit_rating/" xr:uid="{D46F7746-4366-0A45-A929-7434C77CF8AC}"/>
    <hyperlink ref="Q26" r:id="rId178" display="https://www.theglobaleconomy.com/Cambodia/credit_rating/" xr:uid="{5DFBAD74-C0B7-2E4A-8CBF-3CCC2600A967}"/>
    <hyperlink ref="Q27" r:id="rId179" display="https://www.theglobaleconomy.com/Cameroon/credit_rating/" xr:uid="{933A5316-4989-2F46-B2AC-1824FDB385A4}"/>
    <hyperlink ref="Q28" r:id="rId180" display="https://www.theglobaleconomy.com/Canada/credit_rating/" xr:uid="{309FBCCA-7DAA-9744-86DA-66EC0BE593E5}"/>
    <hyperlink ref="Q29" r:id="rId181" display="https://www.theglobaleconomy.com/Cape-Verde/credit_rating/" xr:uid="{827047CE-F104-2743-9EEE-8B830D2594D5}"/>
    <hyperlink ref="Q30" r:id="rId182" display="https://www.theglobaleconomy.com/Chad/credit_rating/" xr:uid="{3672A9E4-0523-224E-8051-9A7A9D8EE5F8}"/>
    <hyperlink ref="Q31" r:id="rId183" display="https://www.theglobaleconomy.com/Chile/credit_rating/" xr:uid="{982306D0-6AAA-0E49-8D71-522702A29362}"/>
    <hyperlink ref="Q32" r:id="rId184" display="https://www.theglobaleconomy.com/China/credit_rating/" xr:uid="{0C59F387-D05D-5249-BA28-9A2D720F148B}"/>
    <hyperlink ref="Q33" r:id="rId185" display="https://www.theglobaleconomy.com/Colombia/credit_rating/" xr:uid="{738BAD9D-AD29-454B-83B0-41F11C7DCF99}"/>
    <hyperlink ref="Q34" r:id="rId186" display="https://www.theglobaleconomy.com/Costa-Rica/credit_rating/" xr:uid="{CF7A40D3-66EF-E145-B53D-D075A9AE91DB}"/>
    <hyperlink ref="Q35" r:id="rId187" display="https://www.theglobaleconomy.com/Croatia/credit_rating/" xr:uid="{E15D36A1-BA32-DC45-A110-C96688A2BE82}"/>
    <hyperlink ref="Q36" r:id="rId188" display="https://www.theglobaleconomy.com/Cuba/credit_rating/" xr:uid="{2B55998C-E9E4-FF4E-B058-DE77E0F29AC4}"/>
    <hyperlink ref="Q37" r:id="rId189" display="https://www.theglobaleconomy.com/Cyprus/credit_rating/" xr:uid="{A587E38C-C494-DF41-83D6-2EA133333F19}"/>
    <hyperlink ref="Q38" r:id="rId190" display="https://www.theglobaleconomy.com/Czech-Republic/credit_rating/" xr:uid="{18690019-223B-224B-B25B-79E1930C3CC1}"/>
    <hyperlink ref="Q39" r:id="rId191" display="https://www.theglobaleconomy.com/Democratic-Republic-of-the-Congo/credit_rating/" xr:uid="{F244F303-36C8-9744-8A36-95C5BD5B84D9}"/>
    <hyperlink ref="Q40" r:id="rId192" display="https://www.theglobaleconomy.com/Denmark/credit_rating/" xr:uid="{EE2F2575-E208-1848-BBDE-1C76C9661930}"/>
    <hyperlink ref="Q41" r:id="rId193" display="https://www.theglobaleconomy.com/Dominican-Republic/credit_rating/" xr:uid="{82A62923-D745-1B47-AB67-4DEDE511A2B7}"/>
    <hyperlink ref="Q42" r:id="rId194" display="https://www.theglobaleconomy.com/Ecuador/credit_rating/" xr:uid="{BE840F73-9A70-0549-BF2C-78D8B997FA48}"/>
    <hyperlink ref="Q43" r:id="rId195" display="https://www.theglobaleconomy.com/Egypt/credit_rating/" xr:uid="{EABB5217-12D1-0944-B958-858C3BA01B5E}"/>
    <hyperlink ref="Q44" r:id="rId196" display="https://www.theglobaleconomy.com/El-Salvador/credit_rating/" xr:uid="{D487E694-E549-F446-94D7-D904B150E763}"/>
    <hyperlink ref="Q45" r:id="rId197" display="https://www.theglobaleconomy.com/Estonia/credit_rating/" xr:uid="{430A299A-7CC7-2A48-8E22-60656C30251F}"/>
    <hyperlink ref="Q46" r:id="rId198" display="https://www.theglobaleconomy.com/Ethiopia/credit_rating/" xr:uid="{5BCF0A6E-FF27-A346-A562-84CB00AC05E8}"/>
    <hyperlink ref="Q47" r:id="rId199" display="https://www.theglobaleconomy.com/Fiji/credit_rating/" xr:uid="{79BFA4F1-3FCD-134D-A09C-098319BA4CFA}"/>
    <hyperlink ref="Q48" r:id="rId200" display="https://www.theglobaleconomy.com/Finland/credit_rating/" xr:uid="{DF684E71-3D7C-D245-AFD6-10705E411900}"/>
    <hyperlink ref="Q49" r:id="rId201" display="https://www.theglobaleconomy.com/France/credit_rating/" xr:uid="{FD91B895-93E1-CA49-A7FC-405B71280C34}"/>
    <hyperlink ref="Q50" r:id="rId202" display="https://www.theglobaleconomy.com/Gabon/credit_rating/" xr:uid="{6573F7CF-C308-854E-8043-530D6493DE79}"/>
    <hyperlink ref="Q51" r:id="rId203" display="https://www.theglobaleconomy.com/Gambia/credit_rating/" xr:uid="{D2DF5DA7-19CD-C24C-B531-937CBCD6596B}"/>
    <hyperlink ref="Q52" r:id="rId204" display="https://www.theglobaleconomy.com/Georgia/credit_rating/" xr:uid="{6C8A2E09-61CF-F446-8241-CAE86F5B0DCB}"/>
    <hyperlink ref="Q53" r:id="rId205" display="https://www.theglobaleconomy.com/Germany/credit_rating/" xr:uid="{BDE0C1A0-3148-6946-8665-B90C8EE12620}"/>
    <hyperlink ref="Q54" r:id="rId206" display="https://www.theglobaleconomy.com/Ghana/credit_rating/" xr:uid="{D68C042F-8DF6-CB4C-AF26-D4576F8A4221}"/>
    <hyperlink ref="Q55" r:id="rId207" display="https://www.theglobaleconomy.com/Greece/credit_rating/" xr:uid="{33340A33-9BDB-2245-A089-5F22D74BAA31}"/>
    <hyperlink ref="Q56" r:id="rId208" display="https://www.theglobaleconomy.com/Grenada/credit_rating/" xr:uid="{187593BD-F5B2-3944-9F46-E9A742CCEA78}"/>
    <hyperlink ref="Q57" r:id="rId209" display="https://www.theglobaleconomy.com/Guatemala/credit_rating/" xr:uid="{2C1FBC4A-2F89-F445-BA24-228AF3BC4B26}"/>
    <hyperlink ref="Q58" r:id="rId210" display="https://www.theglobaleconomy.com/Guinea/credit_rating/" xr:uid="{776E09A0-1916-5248-B257-ED84DA95DDC6}"/>
    <hyperlink ref="Q59" r:id="rId211" display="https://www.theglobaleconomy.com/Honduras/credit_rating/" xr:uid="{44656742-1643-804A-BCE5-8552B5B6682B}"/>
    <hyperlink ref="Q60" r:id="rId212" display="https://www.theglobaleconomy.com/Hong-Kong/credit_rating/" xr:uid="{CCBF0516-86A6-1248-903B-BEE22A60C729}"/>
    <hyperlink ref="Q61" r:id="rId213" display="https://www.theglobaleconomy.com/Hungary/credit_rating/" xr:uid="{0FAE4B6B-05D0-F647-A3E1-9F6CC5E0D65C}"/>
    <hyperlink ref="Q62" r:id="rId214" display="https://www.theglobaleconomy.com/Iceland/credit_rating/" xr:uid="{8003772C-4473-FC40-B7BB-FE55880F755E}"/>
    <hyperlink ref="Q63" r:id="rId215" display="https://www.theglobaleconomy.com/India/credit_rating/" xr:uid="{1A47BBA3-87B0-5545-9938-B45F42A61985}"/>
    <hyperlink ref="Q64" r:id="rId216" display="https://www.theglobaleconomy.com/Indonesia/credit_rating/" xr:uid="{46235CF5-9C87-BD4B-980E-1D0B1FEA2806}"/>
    <hyperlink ref="Q65" r:id="rId217" display="https://www.theglobaleconomy.com/Iran/credit_rating/" xr:uid="{9FD7CB9D-0CCF-8E4E-8D5A-20E93D993040}"/>
    <hyperlink ref="Q66" r:id="rId218" display="https://www.theglobaleconomy.com/Iraq/credit_rating/" xr:uid="{E4176C75-2E73-BC4F-8887-AD3B81977B08}"/>
    <hyperlink ref="Q67" r:id="rId219" display="https://www.theglobaleconomy.com/Ireland/credit_rating/" xr:uid="{A5B574A4-61A1-544B-B1BF-64AC658DF021}"/>
    <hyperlink ref="Q68" r:id="rId220" display="https://www.theglobaleconomy.com/Israel/credit_rating/" xr:uid="{FA0B2B9B-2BFA-0F4A-96C0-F5F31BA90C30}"/>
    <hyperlink ref="Q69" r:id="rId221" display="https://www.theglobaleconomy.com/Italy/credit_rating/" xr:uid="{34537835-95D5-A74F-B9CB-B1AC1AD66112}"/>
    <hyperlink ref="Q70" r:id="rId222" display="https://www.theglobaleconomy.com/Ivory-Coast/credit_rating/" xr:uid="{646B598B-1572-4A42-9C34-691ED636E5C4}"/>
    <hyperlink ref="Q71" r:id="rId223" display="https://www.theglobaleconomy.com/Jamaica/credit_rating/" xr:uid="{9E1F392D-B0DD-2941-9CF2-8F4065EEB4E9}"/>
    <hyperlink ref="Q72" r:id="rId224" display="https://www.theglobaleconomy.com/Japan/credit_rating/" xr:uid="{2F52BF28-6BAD-5F42-B337-D03EF73B6627}"/>
    <hyperlink ref="Q73" r:id="rId225" display="https://www.theglobaleconomy.com/Jordan/credit_rating/" xr:uid="{47AD94A0-DDB3-EA4C-B4C2-115FFB6A3C41}"/>
    <hyperlink ref="Q74" r:id="rId226" display="https://www.theglobaleconomy.com/Kazakhstan/credit_rating/" xr:uid="{BCEDA5AA-4376-5B4B-9126-CFBC2C4FC573}"/>
    <hyperlink ref="Q75" r:id="rId227" display="https://www.theglobaleconomy.com/Kenya/credit_rating/" xr:uid="{5E6D54BC-4A4D-7A41-A4B5-ACAFD767CAF1}"/>
    <hyperlink ref="Q76" r:id="rId228" display="https://www.theglobaleconomy.com/Kuwait/credit_rating/" xr:uid="{23124685-269A-0B40-B0A9-041EDA3FE345}"/>
    <hyperlink ref="Q77" r:id="rId229" display="https://www.theglobaleconomy.com/Kyrgyzstan/credit_rating/" xr:uid="{C4C3448F-2048-BE49-8BD2-83412212DB70}"/>
    <hyperlink ref="Q78" r:id="rId230" display="https://www.theglobaleconomy.com/Laos/credit_rating/" xr:uid="{5E314386-221D-E044-93FA-0A5BA9A7AD5D}"/>
    <hyperlink ref="Q79" r:id="rId231" display="https://www.theglobaleconomy.com/Latvia/credit_rating/" xr:uid="{18F1B1A9-12FE-BE43-AB52-0ABB1E6CAC28}"/>
    <hyperlink ref="Q80" r:id="rId232" display="https://www.theglobaleconomy.com/Lebanon/credit_rating/" xr:uid="{12634FE4-DED2-6942-947B-95A5A7822817}"/>
    <hyperlink ref="Q81" r:id="rId233" display="https://www.theglobaleconomy.com/Lesotho/credit_rating/" xr:uid="{044F453A-5A98-4244-9919-0CC7EA6F8E73}"/>
    <hyperlink ref="Q82" r:id="rId234" display="https://www.theglobaleconomy.com/Libya/credit_rating/" xr:uid="{DFCBA1B2-1986-9E4C-A5C9-5DDD4D2F3009}"/>
    <hyperlink ref="Q83" r:id="rId235" display="https://www.theglobaleconomy.com/Liechtenstein/credit_rating/" xr:uid="{FB622F1C-C914-F54C-8A65-1040CD2AD351}"/>
    <hyperlink ref="Q84" r:id="rId236" display="https://www.theglobaleconomy.com/Lithuania/credit_rating/" xr:uid="{FD23D690-359B-B141-BA80-CE4F365917C4}"/>
    <hyperlink ref="Q85" r:id="rId237" display="https://www.theglobaleconomy.com/Luxembourg/credit_rating/" xr:uid="{B97547A9-DCED-E547-939C-3ACFF4A4A787}"/>
    <hyperlink ref="Q86" r:id="rId238" display="https://www.theglobaleconomy.com/Macao/credit_rating/" xr:uid="{49BECE39-02DE-3B41-AE5D-D894E506A22D}"/>
    <hyperlink ref="Q87" r:id="rId239" display="https://www.theglobaleconomy.com/Madagascar/credit_rating/" xr:uid="{391FB6B9-9632-F84B-B5E8-98DA72342921}"/>
    <hyperlink ref="Q88" r:id="rId240" display="https://www.theglobaleconomy.com/Malawi/credit_rating/" xr:uid="{E27F3A45-14E1-C34C-90BE-40C7CC599EF0}"/>
    <hyperlink ref="Q89" r:id="rId241" display="https://www.theglobaleconomy.com/Malaysia/credit_rating/" xr:uid="{B1F95AD8-21D8-AC4D-8DDB-741C12268D7F}"/>
    <hyperlink ref="Q90" r:id="rId242" display="https://www.theglobaleconomy.com/Maldives/credit_rating/" xr:uid="{B966C615-2ED4-C54E-BBB7-0BBCFD8901A0}"/>
    <hyperlink ref="Q91" r:id="rId243" display="https://www.theglobaleconomy.com/Mali/credit_rating/" xr:uid="{5A38F9F5-9B06-6347-9045-769530245121}"/>
    <hyperlink ref="Q92" r:id="rId244" display="https://www.theglobaleconomy.com/Malta/credit_rating/" xr:uid="{C5922746-9DE1-354A-9983-B20A4362241B}"/>
    <hyperlink ref="Q93" r:id="rId245" display="https://www.theglobaleconomy.com/Mauritius/credit_rating/" xr:uid="{4F6EA646-5418-FC41-A92D-28E215483830}"/>
    <hyperlink ref="Q94" r:id="rId246" display="https://www.theglobaleconomy.com/Mexico/credit_rating/" xr:uid="{364853C4-481E-6640-A72C-C59B4F5A9CB1}"/>
    <hyperlink ref="Q95" r:id="rId247" display="https://www.theglobaleconomy.com/Moldova/credit_rating/" xr:uid="{7820AD1F-A65D-CB40-BB67-A4B3EE2A0653}"/>
    <hyperlink ref="Q96" r:id="rId248" display="https://www.theglobaleconomy.com/Mongolia/credit_rating/" xr:uid="{BFE5957A-A5F8-CB46-96AA-1D37022E1E3C}"/>
    <hyperlink ref="Q97" r:id="rId249" display="https://www.theglobaleconomy.com/Montenegro/credit_rating/" xr:uid="{45D57CC6-DCF8-D048-A904-8AD8100E6BA0}"/>
    <hyperlink ref="Q98" r:id="rId250" display="https://www.theglobaleconomy.com/Montserrat/credit_rating/" xr:uid="{F1B33B40-AFF6-9245-89E5-9ABD4CB5AE38}"/>
    <hyperlink ref="Q99" r:id="rId251" display="https://www.theglobaleconomy.com/Morocco/credit_rating/" xr:uid="{05EB358F-5258-EA47-8EFD-C9D58F4EDD91}"/>
    <hyperlink ref="Q100" r:id="rId252" display="https://www.theglobaleconomy.com/Mozambique/credit_rating/" xr:uid="{C969FE68-7F05-924E-9538-55608D2C4784}"/>
    <hyperlink ref="Q101" r:id="rId253" display="https://www.theglobaleconomy.com/Namibia/credit_rating/" xr:uid="{E5F566F4-376D-2848-9392-ABE485B10AA8}"/>
    <hyperlink ref="Q102" r:id="rId254" display="https://www.theglobaleconomy.com/Nepal/credit_rating/" xr:uid="{B300E659-B9B0-DA49-ABBD-1DFDD52F4B74}"/>
    <hyperlink ref="Q103" r:id="rId255" display="https://www.theglobaleconomy.com/Netherlands/credit_rating/" xr:uid="{AE597E13-D6FF-9E47-BEC7-73891F2D4618}"/>
    <hyperlink ref="Q104" r:id="rId256" display="https://www.theglobaleconomy.com/New-Zealand/credit_rating/" xr:uid="{DF559165-EB16-8541-BB31-E0EFF1CA7AFA}"/>
    <hyperlink ref="Q105" r:id="rId257" display="https://www.theglobaleconomy.com/Nicaragua/credit_rating/" xr:uid="{3EF59F16-41D0-9F4A-A357-E2F25C650F70}"/>
    <hyperlink ref="Q106" r:id="rId258" display="https://www.theglobaleconomy.com/Niger/credit_rating/" xr:uid="{BDA1EC07-91FC-CC43-85F9-924AA9D9B210}"/>
    <hyperlink ref="Q107" r:id="rId259" display="https://www.theglobaleconomy.com/Nigeria/credit_rating/" xr:uid="{8DEE8E05-006C-094D-AA71-E7ECCA86B7AA}"/>
    <hyperlink ref="Q108" r:id="rId260" display="https://www.theglobaleconomy.com/Macedonia/credit_rating/" xr:uid="{2D0F1FFB-34BD-E54A-B0EB-B3AD3C7B2DCC}"/>
    <hyperlink ref="Q109" r:id="rId261" display="https://www.theglobaleconomy.com/Norway/credit_rating/" xr:uid="{3BF9625E-E95B-BE49-ADF6-19DF656F86E0}"/>
    <hyperlink ref="Q110" r:id="rId262" display="https://www.theglobaleconomy.com/Oman/credit_rating/" xr:uid="{90AC25F1-B722-7842-9DB8-24D8ECEF809B}"/>
    <hyperlink ref="Q111" r:id="rId263" display="https://www.theglobaleconomy.com/Pakistan/credit_rating/" xr:uid="{845884E7-D7A1-1740-AE73-E7E4A4D188DA}"/>
    <hyperlink ref="Q112" r:id="rId264" display="https://www.theglobaleconomy.com/Panama/credit_rating/" xr:uid="{7AD88CF4-29E7-F44A-B33E-17426C4203C2}"/>
    <hyperlink ref="Q113" r:id="rId265" display="https://www.theglobaleconomy.com/Papua-New-Guinea/credit_rating/" xr:uid="{CC74AA2C-7338-584E-B4F3-EC97BD2CA86A}"/>
    <hyperlink ref="Q114" r:id="rId266" display="https://www.theglobaleconomy.com/Paraguay/credit_rating/" xr:uid="{A8D54563-7E63-0448-B120-1775F69FD701}"/>
    <hyperlink ref="Q115" r:id="rId267" display="https://www.theglobaleconomy.com/Peru/credit_rating/" xr:uid="{04665150-7CA6-7B48-8B59-E7A76857813F}"/>
    <hyperlink ref="Q116" r:id="rId268" display="https://www.theglobaleconomy.com/Philippines/credit_rating/" xr:uid="{7C8B88AB-5FC2-A746-B08D-AF487CFCD15F}"/>
    <hyperlink ref="Q117" r:id="rId269" display="https://www.theglobaleconomy.com/Poland/credit_rating/" xr:uid="{B72178A3-439B-2B41-8233-F5D03F3FB9E2}"/>
    <hyperlink ref="Q118" r:id="rId270" display="https://www.theglobaleconomy.com/Portugal/credit_rating/" xr:uid="{0314E522-AE2A-794D-912F-613CDA42C0C9}"/>
    <hyperlink ref="Q119" r:id="rId271" display="https://www.theglobaleconomy.com/Puerto-Rico/credit_rating/" xr:uid="{DF419FC1-117B-0046-9450-6BA80E7C5ACE}"/>
    <hyperlink ref="Q120" r:id="rId272" display="https://www.theglobaleconomy.com/Qatar/credit_rating/" xr:uid="{C7E19A2C-3B51-1044-8D3D-BE3BB3FADC36}"/>
    <hyperlink ref="Q121" r:id="rId273" display="https://www.theglobaleconomy.com/Republic-of-the-Congo/credit_rating/" xr:uid="{3539BD02-06A1-E94E-AAC6-79223FA68270}"/>
    <hyperlink ref="Q122" r:id="rId274" display="https://www.theglobaleconomy.com/Romania/credit_rating/" xr:uid="{C082AB6A-1F8A-8348-867D-773D3892BB38}"/>
    <hyperlink ref="Q123" r:id="rId275" display="https://www.theglobaleconomy.com/Russia/credit_rating/" xr:uid="{3730F101-DB9D-4349-9DFA-621705990F33}"/>
    <hyperlink ref="Q124" r:id="rId276" display="https://www.theglobaleconomy.com/Rwanda/credit_rating/" xr:uid="{5C5D8B87-0CB0-AD43-9D79-8EA7CE0D7C0F}"/>
    <hyperlink ref="Q125" r:id="rId277" display="https://www.theglobaleconomy.com/Saint-Vincent-and-the-Grenadines/credit_rating/" xr:uid="{1B1BED59-6EF5-5B45-AC72-1954CA820181}"/>
    <hyperlink ref="Q126" r:id="rId278" display="https://www.theglobaleconomy.com/San-Marino/credit_rating/" xr:uid="{CBBE9102-14BF-AF4B-857D-DCE36FF151FD}"/>
    <hyperlink ref="Q127" r:id="rId279" display="https://www.theglobaleconomy.com/Saudi-Arabia/credit_rating/" xr:uid="{275FE701-9D12-5C45-8D6C-168B11D96857}"/>
    <hyperlink ref="Q128" r:id="rId280" display="https://www.theglobaleconomy.com/Senegal/credit_rating/" xr:uid="{0A14D382-BF94-B348-A0EB-4E42B408D7C5}"/>
    <hyperlink ref="Q129" r:id="rId281" display="https://www.theglobaleconomy.com/Serbia/credit_rating/" xr:uid="{11268E4A-57AB-A247-AC61-37903629C934}"/>
    <hyperlink ref="Q130" r:id="rId282" display="https://www.theglobaleconomy.com/Seychelles/credit_rating/" xr:uid="{79842456-2AE0-204C-A50F-991C81CAD83B}"/>
    <hyperlink ref="Q131" r:id="rId283" display="https://www.theglobaleconomy.com/Singapore/credit_rating/" xr:uid="{8A5B8BEE-D72F-4D4C-B2D2-8C58B0BDB537}"/>
    <hyperlink ref="Q132" r:id="rId284" display="https://www.theglobaleconomy.com/Slovakia/credit_rating/" xr:uid="{54E0F302-E418-534B-B2C1-F5909B6BAD30}"/>
    <hyperlink ref="Q133" r:id="rId285" display="https://www.theglobaleconomy.com/Slovenia/credit_rating/" xr:uid="{BF597EE1-64DC-4A4C-9EA8-8C3F14F165B1}"/>
    <hyperlink ref="Q134" r:id="rId286" display="https://www.theglobaleconomy.com/Solomon-Islands/credit_rating/" xr:uid="{D103A69D-7AA5-E741-922B-9F27F1C38EF4}"/>
    <hyperlink ref="Q135" r:id="rId287" display="https://www.theglobaleconomy.com/South-Africa/credit_rating/" xr:uid="{11D1FAE1-2684-DD45-9D6A-B8CB8FB9770E}"/>
    <hyperlink ref="Q136" r:id="rId288" display="https://www.theglobaleconomy.com/South-Korea/credit_rating/" xr:uid="{DC43A747-ED89-164E-9017-A1B5EAFF19D7}"/>
    <hyperlink ref="Q137" r:id="rId289" display="https://www.theglobaleconomy.com/Spain/credit_rating/" xr:uid="{E4DBF6EC-EF59-5543-8647-E6B62ED66AFC}"/>
    <hyperlink ref="Q138" r:id="rId290" display="https://www.theglobaleconomy.com/Sri-Lanka/credit_rating/" xr:uid="{E85A13E7-B215-6449-9098-B7F8EF35A23F}"/>
    <hyperlink ref="Q139" r:id="rId291" display="https://www.theglobaleconomy.com/Suriname/credit_rating/" xr:uid="{2AB43557-1360-A248-9196-8DE39F69449A}"/>
    <hyperlink ref="Q140" r:id="rId292" display="https://www.theglobaleconomy.com/Swaziland/credit_rating/" xr:uid="{17BD2820-7CDF-154C-B556-9826A06C80F8}"/>
    <hyperlink ref="Q141" r:id="rId293" display="https://www.theglobaleconomy.com/Sweden/credit_rating/" xr:uid="{87CC3891-62D9-D640-8748-0B2C2CE48602}"/>
    <hyperlink ref="Q142" r:id="rId294" display="https://www.theglobaleconomy.com/Switzerland/credit_rating/" xr:uid="{033C8227-73C3-BC4F-987F-2492C6C41CC6}"/>
    <hyperlink ref="Q143" r:id="rId295" display="https://www.theglobaleconomy.com/Taiwan/credit_rating/" xr:uid="{AF03D3BF-1D23-884D-A876-079E99DC979B}"/>
    <hyperlink ref="Q144" r:id="rId296" display="https://www.theglobaleconomy.com/Tajikistan/credit_rating/" xr:uid="{F522AC18-24DE-4843-9CDE-46ECB107034A}"/>
    <hyperlink ref="Q145" r:id="rId297" display="https://www.theglobaleconomy.com/Tanzania/credit_rating/" xr:uid="{BB64FAFD-A96F-8C4C-A8D2-89FEACB0BBD1}"/>
    <hyperlink ref="Q146" r:id="rId298" display="https://www.theglobaleconomy.com/Thailand/credit_rating/" xr:uid="{0914B275-0F63-5E43-B591-BA44EA452AAE}"/>
    <hyperlink ref="Q147" r:id="rId299" display="https://www.theglobaleconomy.com/Togo/credit_rating/" xr:uid="{0092C581-39AF-C64F-B31F-6FBA0B52FBA5}"/>
    <hyperlink ref="Q148" r:id="rId300" display="https://www.theglobaleconomy.com/Trinidad-and-Tobago/credit_rating/" xr:uid="{DA08DC06-0633-5E42-B211-AA66F201AFF3}"/>
    <hyperlink ref="Q149" r:id="rId301" display="https://www.theglobaleconomy.com/Tunisia/credit_rating/" xr:uid="{B66865B5-6FE3-EC44-8E17-3197E868375B}"/>
    <hyperlink ref="Q150" r:id="rId302" display="https://www.theglobaleconomy.com/Turkey/credit_rating/" xr:uid="{F1F44FCE-9F00-D84E-B836-92CE44811462}"/>
    <hyperlink ref="Q151" r:id="rId303" display="https://www.theglobaleconomy.com/Turkmenistan/credit_rating/" xr:uid="{C7A4C83B-636D-8B42-BF97-50C3753772D4}"/>
    <hyperlink ref="Q152" r:id="rId304" display="https://www.theglobaleconomy.com/Uganda/credit_rating/" xr:uid="{2C8D62D4-D7E1-EB40-8696-8FB193D1DFE2}"/>
    <hyperlink ref="Q153" r:id="rId305" display="https://www.theglobaleconomy.com/Ukraine/credit_rating/" xr:uid="{30EB6529-E073-F045-84B6-C2F23267DA13}"/>
    <hyperlink ref="Q154" r:id="rId306" display="https://www.theglobaleconomy.com/United-Arab-Emirates/credit_rating/" xr:uid="{239334CE-E33E-0D45-917D-71C11861E225}"/>
    <hyperlink ref="Q155" r:id="rId307" display="https://www.theglobaleconomy.com/United-Kingdom/credit_rating/" xr:uid="{9EDE0FDD-C7FA-1545-B8A0-BC15DBAEB274}"/>
    <hyperlink ref="Q156" r:id="rId308" display="https://www.theglobaleconomy.com/Uruguay/credit_rating/" xr:uid="{172E4D7B-3BD4-1A40-BD0F-CBE87D79B5D9}"/>
    <hyperlink ref="Q157" r:id="rId309" display="https://www.theglobaleconomy.com/USA/credit_rating/" xr:uid="{1EFB0415-7A8D-7245-BA87-6CCD6EDDDA2A}"/>
    <hyperlink ref="Q158" r:id="rId310" display="https://www.theglobaleconomy.com/Uzbekistan/credit_rating/" xr:uid="{395E09E9-3ECF-604E-871E-5D0F9C43B8E2}"/>
    <hyperlink ref="Q159" r:id="rId311" display="https://www.theglobaleconomy.com/Venezuela/credit_rating/" xr:uid="{9EC5A2C6-2765-D940-B842-C8CEADB9D9D8}"/>
    <hyperlink ref="Q160" r:id="rId312" display="https://www.theglobaleconomy.com/Vietnam/credit_rating/" xr:uid="{F4827025-E0AA-0F4A-A484-24E61F92BF46}"/>
    <hyperlink ref="Q161" r:id="rId313" display="https://www.theglobaleconomy.com/Zambia/credit_rating/" xr:uid="{9A6D7085-6F38-CA4C-A809-876370F810D9}"/>
  </hyperlinks>
  <pageMargins left="0.75" right="0.75" top="1" bottom="1" header="0.5" footer="0.5"/>
  <pageSetup orientation="portrait" horizontalDpi="4294967292" verticalDpi="429496729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26"/>
  <sheetViews>
    <sheetView workbookViewId="0">
      <selection activeCell="C3" sqref="C3"/>
    </sheetView>
  </sheetViews>
  <sheetFormatPr baseColWidth="10" defaultRowHeight="13"/>
  <cols>
    <col min="1" max="1" width="32.6640625" customWidth="1"/>
    <col min="5" max="5" width="20.83203125" customWidth="1"/>
    <col min="8" max="8" width="26.1640625" customWidth="1"/>
    <col min="11" max="11" width="21.83203125" customWidth="1"/>
  </cols>
  <sheetData>
    <row r="1" spans="1:12" ht="17">
      <c r="A1" s="66" t="s">
        <v>75</v>
      </c>
      <c r="B1" s="93" t="s">
        <v>346</v>
      </c>
      <c r="C1" t="s">
        <v>615</v>
      </c>
      <c r="E1" s="153" t="s">
        <v>75</v>
      </c>
      <c r="F1" s="153">
        <v>2023</v>
      </c>
      <c r="H1" t="s">
        <v>52</v>
      </c>
      <c r="I1" t="s">
        <v>479</v>
      </c>
      <c r="K1" s="233" t="s">
        <v>75</v>
      </c>
      <c r="L1" s="234" t="s">
        <v>628</v>
      </c>
    </row>
    <row r="2" spans="1:12" ht="16">
      <c r="A2" s="46" t="str">
        <f>'Ratings worksheet'!A2</f>
        <v>Abu Dhabi</v>
      </c>
      <c r="B2" s="93">
        <f>C2</f>
        <v>0.09</v>
      </c>
      <c r="C2">
        <v>0.09</v>
      </c>
      <c r="E2" t="s">
        <v>370</v>
      </c>
      <c r="F2" s="47">
        <v>0.2</v>
      </c>
      <c r="H2" t="s">
        <v>415</v>
      </c>
      <c r="I2" s="47">
        <v>0.19520000000000001</v>
      </c>
      <c r="K2" t="s">
        <v>370</v>
      </c>
      <c r="L2" s="23">
        <v>0.2</v>
      </c>
    </row>
    <row r="3" spans="1:12" ht="16">
      <c r="A3" s="46" t="str">
        <f>'Ratings worksheet'!A3</f>
        <v>Albania</v>
      </c>
      <c r="B3" s="93">
        <f t="shared" ref="B3:B67" si="0">C3</f>
        <v>0.15</v>
      </c>
      <c r="C3">
        <f t="shared" ref="C3:C66" si="1">VLOOKUP(A3,$K$2:$L$226,2,FALSE)</f>
        <v>0.15</v>
      </c>
      <c r="E3" t="s">
        <v>4</v>
      </c>
      <c r="F3" s="47">
        <v>0.15</v>
      </c>
      <c r="H3" t="s">
        <v>531</v>
      </c>
      <c r="I3" s="47">
        <v>0.26860000000000001</v>
      </c>
      <c r="K3" t="s">
        <v>616</v>
      </c>
      <c r="L3" s="23">
        <v>0.2</v>
      </c>
    </row>
    <row r="4" spans="1:12" ht="16">
      <c r="A4" s="46" t="str">
        <f>'Ratings worksheet'!A4</f>
        <v>Andorra (Principality of)</v>
      </c>
      <c r="B4" s="93">
        <f t="shared" si="0"/>
        <v>0.1</v>
      </c>
      <c r="C4" s="23">
        <f>L7</f>
        <v>0.1</v>
      </c>
      <c r="E4" t="s">
        <v>329</v>
      </c>
      <c r="F4" s="47">
        <v>0.26</v>
      </c>
      <c r="H4" t="s">
        <v>418</v>
      </c>
      <c r="I4" s="47">
        <v>0.2853</v>
      </c>
      <c r="K4" t="s">
        <v>4</v>
      </c>
      <c r="L4" s="23">
        <v>0.15</v>
      </c>
    </row>
    <row r="5" spans="1:12" ht="16">
      <c r="A5" s="46" t="str">
        <f>'Ratings worksheet'!A5</f>
        <v>Angola</v>
      </c>
      <c r="B5" s="93">
        <f t="shared" si="0"/>
        <v>0.25</v>
      </c>
      <c r="C5">
        <f t="shared" si="1"/>
        <v>0.25</v>
      </c>
      <c r="E5" t="s">
        <v>194</v>
      </c>
      <c r="F5" s="47">
        <v>0.1</v>
      </c>
      <c r="H5" t="s">
        <v>417</v>
      </c>
      <c r="I5" s="47">
        <v>0.25750000000000001</v>
      </c>
      <c r="K5" t="s">
        <v>329</v>
      </c>
      <c r="L5" s="23">
        <v>0.26</v>
      </c>
    </row>
    <row r="6" spans="1:12" ht="16">
      <c r="A6" s="46" t="str">
        <f>'Ratings worksheet'!A6</f>
        <v>Argentina</v>
      </c>
      <c r="B6" s="93">
        <f t="shared" si="0"/>
        <v>0.35</v>
      </c>
      <c r="C6">
        <f t="shared" si="1"/>
        <v>0.35</v>
      </c>
      <c r="E6" t="s">
        <v>131</v>
      </c>
      <c r="F6" s="47">
        <v>0.25</v>
      </c>
      <c r="H6" t="s">
        <v>416</v>
      </c>
      <c r="I6" s="47">
        <v>0.2974</v>
      </c>
      <c r="K6" t="s">
        <v>425</v>
      </c>
      <c r="L6" s="23">
        <v>0.34</v>
      </c>
    </row>
    <row r="7" spans="1:12" ht="16">
      <c r="A7" s="46" t="str">
        <f>'Ratings worksheet'!A7</f>
        <v>Armenia</v>
      </c>
      <c r="B7" s="93">
        <f t="shared" si="0"/>
        <v>0.18</v>
      </c>
      <c r="C7">
        <f t="shared" si="1"/>
        <v>0.18</v>
      </c>
      <c r="E7" t="s">
        <v>435</v>
      </c>
      <c r="F7" s="47">
        <v>0</v>
      </c>
      <c r="H7" t="s">
        <v>419</v>
      </c>
      <c r="I7" s="47">
        <v>0.2281</v>
      </c>
      <c r="K7" t="s">
        <v>194</v>
      </c>
      <c r="L7" s="23">
        <v>0.1</v>
      </c>
    </row>
    <row r="8" spans="1:12" ht="16">
      <c r="A8" s="46" t="str">
        <f>'Ratings worksheet'!A8</f>
        <v>Aruba</v>
      </c>
      <c r="B8" s="93">
        <f t="shared" si="0"/>
        <v>0.22</v>
      </c>
      <c r="C8">
        <f t="shared" si="1"/>
        <v>0.22</v>
      </c>
      <c r="E8" t="s">
        <v>390</v>
      </c>
      <c r="F8" s="47">
        <v>0.25</v>
      </c>
      <c r="K8" t="s">
        <v>131</v>
      </c>
      <c r="L8" s="23">
        <v>0.25</v>
      </c>
    </row>
    <row r="9" spans="1:12" ht="16">
      <c r="A9" s="46" t="str">
        <f>'Ratings worksheet'!A9</f>
        <v>Australia</v>
      </c>
      <c r="B9" s="93">
        <f t="shared" si="0"/>
        <v>0.3</v>
      </c>
      <c r="C9">
        <f t="shared" si="1"/>
        <v>0.3</v>
      </c>
      <c r="E9" t="s">
        <v>84</v>
      </c>
      <c r="F9" s="47">
        <v>0.35</v>
      </c>
      <c r="K9" t="s">
        <v>435</v>
      </c>
      <c r="L9" s="23">
        <v>0</v>
      </c>
    </row>
    <row r="10" spans="1:12" ht="16">
      <c r="A10" s="46" t="str">
        <f>'Ratings worksheet'!A10</f>
        <v>Austria</v>
      </c>
      <c r="B10" s="93">
        <f t="shared" si="0"/>
        <v>0.23</v>
      </c>
      <c r="C10">
        <f t="shared" si="1"/>
        <v>0.23</v>
      </c>
      <c r="E10" t="s">
        <v>19</v>
      </c>
      <c r="F10" s="47">
        <v>0.18</v>
      </c>
      <c r="K10" t="s">
        <v>390</v>
      </c>
      <c r="L10" s="23">
        <v>0.25</v>
      </c>
    </row>
    <row r="11" spans="1:12" ht="16">
      <c r="A11" s="46" t="str">
        <f>'Ratings worksheet'!A11</f>
        <v>Azerbaijan</v>
      </c>
      <c r="B11" s="93">
        <f t="shared" si="0"/>
        <v>0.2</v>
      </c>
      <c r="C11">
        <f t="shared" si="1"/>
        <v>0.2</v>
      </c>
      <c r="E11" t="s">
        <v>198</v>
      </c>
      <c r="F11" s="47">
        <v>0.25</v>
      </c>
      <c r="K11" t="s">
        <v>84</v>
      </c>
      <c r="L11" s="23">
        <v>0.35</v>
      </c>
    </row>
    <row r="12" spans="1:12" ht="16">
      <c r="A12" s="46" t="str">
        <f>'Ratings worksheet'!A12</f>
        <v>Bahamas</v>
      </c>
      <c r="B12" s="93">
        <f t="shared" si="0"/>
        <v>0</v>
      </c>
      <c r="C12">
        <f t="shared" si="1"/>
        <v>0</v>
      </c>
      <c r="E12" t="s">
        <v>85</v>
      </c>
      <c r="F12" s="47">
        <v>0.3</v>
      </c>
      <c r="K12" t="s">
        <v>19</v>
      </c>
      <c r="L12" s="23">
        <v>0.18</v>
      </c>
    </row>
    <row r="13" spans="1:12" ht="16">
      <c r="A13" s="46" t="str">
        <f>'Ratings worksheet'!A13</f>
        <v>Bahrain</v>
      </c>
      <c r="B13" s="93">
        <f t="shared" si="0"/>
        <v>0</v>
      </c>
      <c r="C13">
        <f t="shared" si="1"/>
        <v>0</v>
      </c>
      <c r="E13" t="s">
        <v>173</v>
      </c>
      <c r="F13" s="47">
        <v>0.24</v>
      </c>
      <c r="K13" t="s">
        <v>198</v>
      </c>
      <c r="L13" s="23">
        <v>0.22</v>
      </c>
    </row>
    <row r="14" spans="1:12" ht="16">
      <c r="A14" s="46" t="str">
        <f>'Ratings worksheet'!A14</f>
        <v>Bangladesh</v>
      </c>
      <c r="B14" s="93">
        <f t="shared" si="0"/>
        <v>0.27500000000000002</v>
      </c>
      <c r="C14">
        <f t="shared" si="1"/>
        <v>0.27500000000000002</v>
      </c>
      <c r="E14" t="s">
        <v>20</v>
      </c>
      <c r="F14" s="47">
        <v>0.2</v>
      </c>
      <c r="K14" t="s">
        <v>85</v>
      </c>
      <c r="L14" s="23">
        <v>0.3</v>
      </c>
    </row>
    <row r="15" spans="1:12" ht="16">
      <c r="A15" s="46" t="str">
        <f>'Ratings worksheet'!A15</f>
        <v>Barbados</v>
      </c>
      <c r="B15" s="93">
        <f t="shared" si="0"/>
        <v>0.09</v>
      </c>
      <c r="C15">
        <f t="shared" si="1"/>
        <v>0.09</v>
      </c>
      <c r="E15" t="s">
        <v>86</v>
      </c>
      <c r="F15" s="47">
        <v>0</v>
      </c>
      <c r="K15" t="s">
        <v>173</v>
      </c>
      <c r="L15" s="23">
        <v>0.23</v>
      </c>
    </row>
    <row r="16" spans="1:12" ht="16">
      <c r="A16" s="46" t="str">
        <f>'Ratings worksheet'!A16</f>
        <v>Belarus</v>
      </c>
      <c r="B16" s="93">
        <f t="shared" si="0"/>
        <v>0.25</v>
      </c>
      <c r="C16">
        <f t="shared" si="1"/>
        <v>0.25</v>
      </c>
      <c r="E16" t="s">
        <v>87</v>
      </c>
      <c r="F16" s="47">
        <v>0</v>
      </c>
      <c r="K16" t="s">
        <v>20</v>
      </c>
      <c r="L16" s="23">
        <v>0.2</v>
      </c>
    </row>
    <row r="17" spans="1:12" ht="16">
      <c r="A17" s="46" t="str">
        <f>'Ratings worksheet'!A17</f>
        <v>Belgium</v>
      </c>
      <c r="B17" s="93">
        <f t="shared" si="0"/>
        <v>0.25</v>
      </c>
      <c r="C17">
        <f t="shared" si="1"/>
        <v>0.25</v>
      </c>
      <c r="E17" t="s">
        <v>132</v>
      </c>
      <c r="F17" s="47">
        <v>0.3</v>
      </c>
      <c r="K17" t="s">
        <v>86</v>
      </c>
      <c r="L17" s="23">
        <v>0</v>
      </c>
    </row>
    <row r="18" spans="1:12" ht="16">
      <c r="A18" s="46" t="str">
        <f>'Ratings worksheet'!A18</f>
        <v>Belize</v>
      </c>
      <c r="B18" s="93">
        <f t="shared" si="0"/>
        <v>0</v>
      </c>
      <c r="C18">
        <f t="shared" si="1"/>
        <v>0</v>
      </c>
      <c r="E18" t="s">
        <v>88</v>
      </c>
      <c r="F18" s="47">
        <v>5.5E-2</v>
      </c>
      <c r="K18" t="s">
        <v>87</v>
      </c>
      <c r="L18" s="23">
        <v>0</v>
      </c>
    </row>
    <row r="19" spans="1:12" ht="16">
      <c r="A19" s="46" t="str">
        <f>'Ratings worksheet'!A19</f>
        <v>Benin</v>
      </c>
      <c r="B19" s="93">
        <f t="shared" si="0"/>
        <v>0.3</v>
      </c>
      <c r="C19">
        <f t="shared" si="1"/>
        <v>0.3</v>
      </c>
      <c r="E19" t="s">
        <v>5</v>
      </c>
      <c r="F19" s="47">
        <v>0.18</v>
      </c>
      <c r="K19" t="s">
        <v>132</v>
      </c>
      <c r="L19" s="23">
        <v>0.27500000000000002</v>
      </c>
    </row>
    <row r="20" spans="1:12" ht="16">
      <c r="A20" s="46" t="str">
        <f>'Ratings worksheet'!A20</f>
        <v>Bermuda</v>
      </c>
      <c r="B20" s="93">
        <f t="shared" si="0"/>
        <v>0</v>
      </c>
      <c r="C20">
        <f t="shared" si="1"/>
        <v>0</v>
      </c>
      <c r="E20" t="s">
        <v>174</v>
      </c>
      <c r="F20" s="47">
        <v>0.25</v>
      </c>
      <c r="K20" t="s">
        <v>88</v>
      </c>
      <c r="L20" s="23">
        <v>0.09</v>
      </c>
    </row>
    <row r="21" spans="1:12" ht="16">
      <c r="A21" s="46" t="str">
        <f>'Ratings worksheet'!A21</f>
        <v>Bolivia</v>
      </c>
      <c r="B21" s="93">
        <f t="shared" si="0"/>
        <v>0.25</v>
      </c>
      <c r="C21">
        <f t="shared" si="1"/>
        <v>0.25</v>
      </c>
      <c r="E21" t="s">
        <v>205</v>
      </c>
      <c r="F21" s="47">
        <v>0.3</v>
      </c>
      <c r="K21" t="s">
        <v>5</v>
      </c>
      <c r="L21" s="23">
        <v>0.25</v>
      </c>
    </row>
    <row r="22" spans="1:12" ht="16">
      <c r="A22" s="46" t="str">
        <f>'Ratings worksheet'!A22</f>
        <v>Bosnia and Herzegovina</v>
      </c>
      <c r="B22" s="93">
        <f t="shared" si="0"/>
        <v>0.1</v>
      </c>
      <c r="C22">
        <f t="shared" si="1"/>
        <v>0.1</v>
      </c>
      <c r="E22" t="s">
        <v>90</v>
      </c>
      <c r="F22" s="47">
        <v>0</v>
      </c>
      <c r="K22" t="s">
        <v>174</v>
      </c>
      <c r="L22" s="23">
        <v>0.25</v>
      </c>
    </row>
    <row r="23" spans="1:12" ht="16">
      <c r="A23" s="46" t="str">
        <f>'Ratings worksheet'!A23</f>
        <v>Botswana</v>
      </c>
      <c r="B23" s="93">
        <f t="shared" si="0"/>
        <v>0.22</v>
      </c>
      <c r="C23">
        <f t="shared" si="1"/>
        <v>0.22</v>
      </c>
      <c r="E23" t="s">
        <v>91</v>
      </c>
      <c r="F23" s="47">
        <v>0.25</v>
      </c>
      <c r="K23" t="s">
        <v>89</v>
      </c>
      <c r="L23" s="23">
        <v>0</v>
      </c>
    </row>
    <row r="24" spans="1:12" ht="16">
      <c r="A24" s="46" t="str">
        <f>'Ratings worksheet'!A24</f>
        <v>Brazil</v>
      </c>
      <c r="B24" s="93">
        <f t="shared" si="0"/>
        <v>0.34</v>
      </c>
      <c r="C24">
        <f t="shared" si="1"/>
        <v>0.34</v>
      </c>
      <c r="E24" t="s">
        <v>406</v>
      </c>
      <c r="F24" s="47">
        <v>0.25</v>
      </c>
      <c r="K24" t="s">
        <v>205</v>
      </c>
      <c r="L24" s="23">
        <v>0.3</v>
      </c>
    </row>
    <row r="25" spans="1:12" ht="16">
      <c r="A25" s="46" t="str">
        <f>'Ratings worksheet'!A25</f>
        <v>Bulgaria</v>
      </c>
      <c r="B25" s="93">
        <f t="shared" si="0"/>
        <v>0.1</v>
      </c>
      <c r="C25">
        <f t="shared" si="1"/>
        <v>0.1</v>
      </c>
      <c r="E25" t="s">
        <v>7</v>
      </c>
      <c r="F25" s="47">
        <v>0.1</v>
      </c>
      <c r="K25" t="s">
        <v>90</v>
      </c>
      <c r="L25" s="23">
        <v>0</v>
      </c>
    </row>
    <row r="26" spans="1:12" ht="16">
      <c r="A26" s="46" t="str">
        <f>'Ratings worksheet'!A26</f>
        <v>Burkina Faso</v>
      </c>
      <c r="B26" s="93">
        <f t="shared" si="0"/>
        <v>0.27500000000000002</v>
      </c>
      <c r="C26">
        <f t="shared" si="1"/>
        <v>0.27500000000000002</v>
      </c>
      <c r="E26" t="s">
        <v>123</v>
      </c>
      <c r="F26" s="47">
        <v>0.22</v>
      </c>
      <c r="K26" t="s">
        <v>384</v>
      </c>
      <c r="L26" s="23">
        <v>0.25</v>
      </c>
    </row>
    <row r="27" spans="1:12" ht="16">
      <c r="A27" s="46" t="str">
        <f>'Ratings worksheet'!A27</f>
        <v>Cambodia</v>
      </c>
      <c r="B27" s="93">
        <f t="shared" si="0"/>
        <v>0.2</v>
      </c>
      <c r="C27">
        <f t="shared" si="1"/>
        <v>0.2</v>
      </c>
      <c r="E27" t="s">
        <v>92</v>
      </c>
      <c r="F27" s="47">
        <v>0.34</v>
      </c>
      <c r="K27" t="s">
        <v>91</v>
      </c>
      <c r="L27" s="23">
        <v>0.25</v>
      </c>
    </row>
    <row r="28" spans="1:12" ht="16">
      <c r="A28" s="46" t="str">
        <f>'Ratings worksheet'!A28</f>
        <v>Cameroon</v>
      </c>
      <c r="B28" s="93">
        <f t="shared" si="0"/>
        <v>0.33</v>
      </c>
      <c r="C28">
        <f t="shared" si="1"/>
        <v>0.33</v>
      </c>
      <c r="E28" t="s">
        <v>371</v>
      </c>
      <c r="F28" s="47">
        <v>0.185</v>
      </c>
      <c r="K28" t="s">
        <v>617</v>
      </c>
      <c r="L28" s="23">
        <v>0.25800000000000001</v>
      </c>
    </row>
    <row r="29" spans="1:12" ht="16">
      <c r="A29" s="46" t="str">
        <f>'Ratings worksheet'!A29</f>
        <v>Canada</v>
      </c>
      <c r="B29" s="93">
        <f t="shared" si="0"/>
        <v>0.26140000000000002</v>
      </c>
      <c r="C29">
        <f t="shared" si="1"/>
        <v>0.26140000000000002</v>
      </c>
      <c r="E29" t="s">
        <v>94</v>
      </c>
      <c r="F29" s="47">
        <v>0.1</v>
      </c>
      <c r="K29" t="s">
        <v>7</v>
      </c>
      <c r="L29" s="23">
        <v>0.1</v>
      </c>
    </row>
    <row r="30" spans="1:12" ht="16">
      <c r="A30" s="46" t="str">
        <f>'Ratings worksheet'!A30</f>
        <v>Cape Verde</v>
      </c>
      <c r="B30" s="93">
        <f t="shared" si="0"/>
        <v>0.26860000000000001</v>
      </c>
      <c r="C30" s="23">
        <f>I3</f>
        <v>0.26860000000000001</v>
      </c>
      <c r="E30" t="s">
        <v>208</v>
      </c>
      <c r="F30" s="47">
        <v>0.28000000000000003</v>
      </c>
      <c r="K30" t="s">
        <v>123</v>
      </c>
      <c r="L30" s="23">
        <v>0.22</v>
      </c>
    </row>
    <row r="31" spans="1:12" ht="16">
      <c r="A31" s="46" t="str">
        <f>'Ratings worksheet'!A31</f>
        <v>Cayman Islands</v>
      </c>
      <c r="B31" s="93">
        <f t="shared" si="0"/>
        <v>0</v>
      </c>
      <c r="C31">
        <f t="shared" si="1"/>
        <v>0</v>
      </c>
      <c r="E31" t="s">
        <v>380</v>
      </c>
      <c r="F31" s="47">
        <v>0.3</v>
      </c>
      <c r="K31" t="s">
        <v>92</v>
      </c>
      <c r="L31" s="23">
        <v>0.34</v>
      </c>
    </row>
    <row r="32" spans="1:12" ht="16">
      <c r="A32" s="46" t="str">
        <f>'Ratings worksheet'!A32</f>
        <v>Chile</v>
      </c>
      <c r="B32" s="93">
        <f t="shared" si="0"/>
        <v>0.27</v>
      </c>
      <c r="C32">
        <f t="shared" si="1"/>
        <v>0.27</v>
      </c>
      <c r="E32" t="s">
        <v>6</v>
      </c>
      <c r="F32" s="47">
        <v>0.2</v>
      </c>
      <c r="K32" t="s">
        <v>512</v>
      </c>
      <c r="L32" s="23">
        <v>0</v>
      </c>
    </row>
    <row r="33" spans="1:12" ht="16">
      <c r="A33" s="46" t="str">
        <f>'Ratings worksheet'!A33</f>
        <v>China</v>
      </c>
      <c r="B33" s="93">
        <f t="shared" si="0"/>
        <v>0.25</v>
      </c>
      <c r="C33">
        <f t="shared" si="1"/>
        <v>0.25</v>
      </c>
      <c r="E33" t="s">
        <v>209</v>
      </c>
      <c r="F33" s="47">
        <v>0.33</v>
      </c>
      <c r="K33" t="s">
        <v>371</v>
      </c>
      <c r="L33" s="23">
        <v>0.185</v>
      </c>
    </row>
    <row r="34" spans="1:12" ht="16">
      <c r="A34" s="46" t="str">
        <f>'Ratings worksheet'!A34</f>
        <v>Colombia</v>
      </c>
      <c r="B34" s="93">
        <f t="shared" si="0"/>
        <v>0.35</v>
      </c>
      <c r="C34">
        <f t="shared" si="1"/>
        <v>0.35</v>
      </c>
      <c r="E34" t="s">
        <v>95</v>
      </c>
      <c r="F34" s="47">
        <v>0.26500000000000001</v>
      </c>
      <c r="K34" t="s">
        <v>94</v>
      </c>
      <c r="L34" s="23">
        <v>0.1</v>
      </c>
    </row>
    <row r="35" spans="1:12" ht="16">
      <c r="A35" s="46" t="str">
        <f>'Ratings worksheet'!A35</f>
        <v>Congo (Democratic Republic of)</v>
      </c>
      <c r="B35" s="93">
        <f t="shared" si="0"/>
        <v>0.3</v>
      </c>
      <c r="C35">
        <v>0.3</v>
      </c>
      <c r="E35" t="s">
        <v>55</v>
      </c>
      <c r="F35" s="47">
        <v>0</v>
      </c>
      <c r="K35" t="s">
        <v>208</v>
      </c>
      <c r="L35" s="23">
        <v>0.27500000000000002</v>
      </c>
    </row>
    <row r="36" spans="1:12" ht="16">
      <c r="A36" s="46" t="str">
        <f>'Ratings worksheet'!A36</f>
        <v>Congo (Republic of)</v>
      </c>
      <c r="B36" s="93">
        <f>I3</f>
        <v>0.26860000000000001</v>
      </c>
      <c r="C36" s="23">
        <f>I3</f>
        <v>0.26860000000000001</v>
      </c>
      <c r="E36" t="s">
        <v>96</v>
      </c>
      <c r="F36" s="47">
        <v>0.27</v>
      </c>
      <c r="K36" t="s">
        <v>380</v>
      </c>
      <c r="L36" s="23">
        <v>0.3</v>
      </c>
    </row>
    <row r="37" spans="1:12" ht="16">
      <c r="A37" s="46" t="str">
        <f>'Ratings worksheet'!A37</f>
        <v>Cook Islands</v>
      </c>
      <c r="B37" s="93">
        <f t="shared" si="0"/>
        <v>0.2</v>
      </c>
      <c r="C37">
        <f t="shared" si="1"/>
        <v>0.2</v>
      </c>
      <c r="E37" t="s">
        <v>97</v>
      </c>
      <c r="F37" s="47">
        <v>0.25</v>
      </c>
      <c r="K37" t="s">
        <v>481</v>
      </c>
      <c r="L37" s="23">
        <v>0.21420000000000003</v>
      </c>
    </row>
    <row r="38" spans="1:12" ht="16">
      <c r="A38" s="46" t="str">
        <f>'Ratings worksheet'!A38</f>
        <v>Costa Rica</v>
      </c>
      <c r="B38" s="93">
        <f t="shared" si="0"/>
        <v>0.3</v>
      </c>
      <c r="C38">
        <f t="shared" si="1"/>
        <v>0.3</v>
      </c>
      <c r="E38" t="s">
        <v>50</v>
      </c>
      <c r="F38" s="47">
        <v>0.35</v>
      </c>
      <c r="K38" t="s">
        <v>6</v>
      </c>
      <c r="L38" s="23">
        <v>0.2</v>
      </c>
    </row>
    <row r="39" spans="1:12" ht="16">
      <c r="A39" s="46" t="str">
        <f>'Ratings worksheet'!A39</f>
        <v>Côte d'Ivoire</v>
      </c>
      <c r="B39" s="93">
        <f>C39</f>
        <v>0.25</v>
      </c>
      <c r="C39">
        <v>0.25</v>
      </c>
      <c r="E39" t="s">
        <v>467</v>
      </c>
      <c r="F39" s="47">
        <v>0.28000000000000003</v>
      </c>
      <c r="K39" t="s">
        <v>209</v>
      </c>
      <c r="L39" s="23">
        <v>0.33</v>
      </c>
    </row>
    <row r="40" spans="1:12" ht="16">
      <c r="A40" s="46" t="str">
        <f>'Ratings worksheet'!A40</f>
        <v>Croatia</v>
      </c>
      <c r="B40" s="93">
        <f t="shared" si="0"/>
        <v>0.18</v>
      </c>
      <c r="C40">
        <f t="shared" si="1"/>
        <v>0.18</v>
      </c>
      <c r="E40" t="s">
        <v>436</v>
      </c>
      <c r="F40" s="47">
        <v>0.3</v>
      </c>
      <c r="K40" t="s">
        <v>95</v>
      </c>
      <c r="L40" s="23">
        <v>0.26140000000000002</v>
      </c>
    </row>
    <row r="41" spans="1:12" ht="16">
      <c r="A41" s="46" t="str">
        <f>'Ratings worksheet'!A41</f>
        <v>Cuba</v>
      </c>
      <c r="B41" s="93">
        <f t="shared" si="0"/>
        <v>0.35</v>
      </c>
      <c r="C41">
        <f t="shared" si="1"/>
        <v>0.35</v>
      </c>
      <c r="E41" t="s">
        <v>56</v>
      </c>
      <c r="F41" s="47">
        <v>0.3</v>
      </c>
      <c r="K41" t="s">
        <v>55</v>
      </c>
      <c r="L41" s="23">
        <v>0</v>
      </c>
    </row>
    <row r="42" spans="1:12" ht="16">
      <c r="A42" s="46" t="str">
        <f>'Ratings worksheet'!A42</f>
        <v>Curacao</v>
      </c>
      <c r="B42" s="93">
        <f t="shared" si="0"/>
        <v>0.22</v>
      </c>
      <c r="C42">
        <f t="shared" si="1"/>
        <v>0.22</v>
      </c>
      <c r="E42" t="s">
        <v>98</v>
      </c>
      <c r="F42" s="47">
        <v>0.18</v>
      </c>
      <c r="K42" t="s">
        <v>386</v>
      </c>
      <c r="L42" s="23">
        <v>0.3</v>
      </c>
    </row>
    <row r="43" spans="1:12" ht="16">
      <c r="A43" s="46" t="str">
        <f>'Ratings worksheet'!A43</f>
        <v>Cyprus</v>
      </c>
      <c r="B43" s="93">
        <f t="shared" si="0"/>
        <v>0.125</v>
      </c>
      <c r="C43">
        <f t="shared" si="1"/>
        <v>0.125</v>
      </c>
      <c r="E43" t="s">
        <v>214</v>
      </c>
      <c r="F43" s="47">
        <v>0.22</v>
      </c>
      <c r="K43" t="s">
        <v>374</v>
      </c>
      <c r="L43" s="23">
        <v>0.35</v>
      </c>
    </row>
    <row r="44" spans="1:12" ht="16">
      <c r="A44" s="46" t="str">
        <f>'Ratings worksheet'!A44</f>
        <v>Czech Republic</v>
      </c>
      <c r="B44" s="93">
        <f t="shared" si="0"/>
        <v>0.21</v>
      </c>
      <c r="C44">
        <v>0.21</v>
      </c>
      <c r="E44" t="s">
        <v>175</v>
      </c>
      <c r="F44" s="47">
        <v>0.125</v>
      </c>
      <c r="K44" t="s">
        <v>96</v>
      </c>
      <c r="L44" s="23">
        <v>0.27</v>
      </c>
    </row>
    <row r="45" spans="1:12" ht="16">
      <c r="A45" s="46" t="str">
        <f>'Ratings worksheet'!A45</f>
        <v>Denmark</v>
      </c>
      <c r="B45" s="93">
        <f t="shared" si="0"/>
        <v>0.22</v>
      </c>
      <c r="C45">
        <f t="shared" si="1"/>
        <v>0.22</v>
      </c>
      <c r="E45" t="s">
        <v>101</v>
      </c>
      <c r="F45" s="47">
        <v>0.21</v>
      </c>
      <c r="K45" t="s">
        <v>97</v>
      </c>
      <c r="L45" s="23">
        <v>0.25</v>
      </c>
    </row>
    <row r="46" spans="1:12" ht="16">
      <c r="A46" s="46" t="str">
        <f>'Ratings worksheet'!A46</f>
        <v>Dominican Republic</v>
      </c>
      <c r="B46" s="93">
        <f t="shared" si="0"/>
        <v>0.27</v>
      </c>
      <c r="C46">
        <f t="shared" si="1"/>
        <v>0.27</v>
      </c>
      <c r="E46" t="s">
        <v>102</v>
      </c>
      <c r="F46" s="47">
        <v>0.22</v>
      </c>
      <c r="K46" t="s">
        <v>620</v>
      </c>
      <c r="L46" s="23">
        <v>0.16500000000000001</v>
      </c>
    </row>
    <row r="47" spans="1:12" ht="16">
      <c r="A47" s="46" t="str">
        <f>'Ratings worksheet'!A47</f>
        <v>Ecuador</v>
      </c>
      <c r="B47" s="93">
        <f t="shared" si="0"/>
        <v>0.25</v>
      </c>
      <c r="C47">
        <f t="shared" si="1"/>
        <v>0.25</v>
      </c>
      <c r="E47" t="s">
        <v>385</v>
      </c>
      <c r="F47" s="47">
        <v>0.25</v>
      </c>
      <c r="K47" t="s">
        <v>621</v>
      </c>
      <c r="L47" s="23">
        <v>0.12</v>
      </c>
    </row>
    <row r="48" spans="1:12" ht="16">
      <c r="A48" s="46" t="str">
        <f>'Ratings worksheet'!A48</f>
        <v>Egypt</v>
      </c>
      <c r="B48" s="93">
        <f t="shared" si="0"/>
        <v>0.22500000000000001</v>
      </c>
      <c r="C48">
        <f t="shared" si="1"/>
        <v>0.22500000000000001</v>
      </c>
      <c r="E48" t="s">
        <v>399</v>
      </c>
      <c r="F48" s="47">
        <v>0.25</v>
      </c>
      <c r="K48" t="s">
        <v>50</v>
      </c>
      <c r="L48" s="23">
        <v>0.35</v>
      </c>
    </row>
    <row r="49" spans="1:12" ht="16">
      <c r="A49" s="46" t="str">
        <f>'Ratings worksheet'!A49</f>
        <v>El Salvador</v>
      </c>
      <c r="B49" s="93">
        <f t="shared" si="0"/>
        <v>0.3</v>
      </c>
      <c r="C49">
        <f t="shared" si="1"/>
        <v>0.3</v>
      </c>
      <c r="E49" t="s">
        <v>103</v>
      </c>
      <c r="F49" s="47">
        <v>0.27</v>
      </c>
      <c r="K49" t="s">
        <v>398</v>
      </c>
      <c r="L49" s="23">
        <v>0.5</v>
      </c>
    </row>
    <row r="50" spans="1:12" ht="16">
      <c r="A50" s="46" t="str">
        <f>'Ratings worksheet'!A50</f>
        <v>Estonia</v>
      </c>
      <c r="B50" s="93">
        <f t="shared" si="0"/>
        <v>0.2</v>
      </c>
      <c r="C50">
        <f t="shared" si="1"/>
        <v>0.2</v>
      </c>
      <c r="E50" t="s">
        <v>104</v>
      </c>
      <c r="F50" s="47">
        <v>0.25</v>
      </c>
      <c r="K50" t="s">
        <v>467</v>
      </c>
      <c r="L50" s="23">
        <v>0.28000000000000003</v>
      </c>
    </row>
    <row r="51" spans="1:12" ht="16">
      <c r="A51" s="46" t="str">
        <f>'Ratings worksheet'!A51</f>
        <v>Ethiopia</v>
      </c>
      <c r="B51" s="93">
        <f t="shared" si="0"/>
        <v>0.3</v>
      </c>
      <c r="C51">
        <f t="shared" si="1"/>
        <v>0.3</v>
      </c>
      <c r="E51" t="s">
        <v>105</v>
      </c>
      <c r="F51" s="47">
        <v>0.22500000000000001</v>
      </c>
      <c r="K51" t="s">
        <v>211</v>
      </c>
      <c r="L51" s="23">
        <v>0.2</v>
      </c>
    </row>
    <row r="52" spans="1:12" ht="16">
      <c r="A52" s="46" t="str">
        <f>'Ratings worksheet'!A52</f>
        <v>Fiji</v>
      </c>
      <c r="B52" s="93">
        <f t="shared" si="0"/>
        <v>0.25</v>
      </c>
      <c r="C52">
        <f t="shared" si="1"/>
        <v>0.25</v>
      </c>
      <c r="E52" t="s">
        <v>31</v>
      </c>
      <c r="F52" s="47">
        <v>0.3</v>
      </c>
      <c r="K52" t="s">
        <v>56</v>
      </c>
      <c r="L52" s="23">
        <v>0.3</v>
      </c>
    </row>
    <row r="53" spans="1:12" ht="16">
      <c r="A53" s="46" t="str">
        <f>'Ratings worksheet'!A53</f>
        <v>Finland</v>
      </c>
      <c r="B53" s="93">
        <f t="shared" si="0"/>
        <v>0.2</v>
      </c>
      <c r="C53">
        <f t="shared" si="1"/>
        <v>0.2</v>
      </c>
      <c r="E53" t="s">
        <v>106</v>
      </c>
      <c r="F53" s="47">
        <v>0.2</v>
      </c>
      <c r="K53" t="s">
        <v>358</v>
      </c>
      <c r="L53" s="23">
        <v>0.25</v>
      </c>
    </row>
    <row r="54" spans="1:12" ht="16">
      <c r="A54" s="46" t="str">
        <f>'Ratings worksheet'!A54</f>
        <v>France</v>
      </c>
      <c r="B54" s="93">
        <f t="shared" si="0"/>
        <v>0.25829999999999997</v>
      </c>
      <c r="C54">
        <f t="shared" si="1"/>
        <v>0.25829999999999997</v>
      </c>
      <c r="E54" t="s">
        <v>279</v>
      </c>
      <c r="F54" s="47">
        <v>0.3</v>
      </c>
      <c r="K54" t="s">
        <v>98</v>
      </c>
      <c r="L54" s="23">
        <v>0.18</v>
      </c>
    </row>
    <row r="55" spans="1:12" ht="16">
      <c r="A55" s="46" t="str">
        <f>'Ratings worksheet'!A55</f>
        <v>Gabon</v>
      </c>
      <c r="B55" s="93">
        <f t="shared" si="0"/>
        <v>0.3</v>
      </c>
      <c r="C55">
        <f t="shared" si="1"/>
        <v>0.3</v>
      </c>
      <c r="E55" t="s">
        <v>216</v>
      </c>
      <c r="F55" s="47">
        <v>0.2</v>
      </c>
      <c r="K55" t="s">
        <v>99</v>
      </c>
      <c r="L55" s="23">
        <v>0.35</v>
      </c>
    </row>
    <row r="56" spans="1:12" ht="16">
      <c r="A56" s="46" t="str">
        <f>'Ratings worksheet'!A56</f>
        <v>Georgia</v>
      </c>
      <c r="B56" s="93">
        <f t="shared" si="0"/>
        <v>0.15</v>
      </c>
      <c r="C56">
        <f t="shared" si="1"/>
        <v>0.15</v>
      </c>
      <c r="E56" t="s">
        <v>176</v>
      </c>
      <c r="F56" s="47">
        <v>0.2</v>
      </c>
      <c r="K56" t="s">
        <v>214</v>
      </c>
      <c r="L56" s="23">
        <v>0.22</v>
      </c>
    </row>
    <row r="57" spans="1:12" ht="16">
      <c r="A57" s="46" t="str">
        <f>'Ratings worksheet'!A57</f>
        <v>Germany</v>
      </c>
      <c r="B57" s="93">
        <f t="shared" si="0"/>
        <v>0.29930000000000001</v>
      </c>
      <c r="C57">
        <f t="shared" si="1"/>
        <v>0.29930000000000001</v>
      </c>
      <c r="E57" t="s">
        <v>177</v>
      </c>
      <c r="F57" s="47">
        <v>0.25</v>
      </c>
      <c r="K57" t="s">
        <v>175</v>
      </c>
      <c r="L57" s="23">
        <v>0.125</v>
      </c>
    </row>
    <row r="58" spans="1:12" ht="16">
      <c r="A58" s="46" t="str">
        <f>'Ratings worksheet'!A58</f>
        <v>Ghana</v>
      </c>
      <c r="B58" s="93">
        <f t="shared" si="0"/>
        <v>0.25</v>
      </c>
      <c r="C58">
        <f t="shared" si="1"/>
        <v>0.25</v>
      </c>
      <c r="E58" t="s">
        <v>217</v>
      </c>
      <c r="F58" s="47">
        <v>0.3</v>
      </c>
      <c r="K58" t="s">
        <v>504</v>
      </c>
      <c r="L58" s="23">
        <v>0.21</v>
      </c>
    </row>
    <row r="59" spans="1:12" ht="16">
      <c r="A59" s="46" t="str">
        <f>'Ratings worksheet'!A59</f>
        <v>Greece</v>
      </c>
      <c r="B59" s="93">
        <f t="shared" si="0"/>
        <v>0.22</v>
      </c>
      <c r="C59">
        <f t="shared" si="1"/>
        <v>0.22</v>
      </c>
      <c r="E59" t="s">
        <v>326</v>
      </c>
      <c r="F59" s="47">
        <v>0.27</v>
      </c>
      <c r="K59" t="s">
        <v>474</v>
      </c>
      <c r="L59" s="23">
        <v>0.3</v>
      </c>
    </row>
    <row r="60" spans="1:12" ht="16">
      <c r="A60" s="46" t="str">
        <f>'Ratings worksheet'!A60</f>
        <v>Guatemala</v>
      </c>
      <c r="B60" s="93">
        <f t="shared" si="0"/>
        <v>0.25</v>
      </c>
      <c r="C60">
        <f t="shared" si="1"/>
        <v>0.25</v>
      </c>
      <c r="E60" t="s">
        <v>133</v>
      </c>
      <c r="F60" s="47">
        <v>0.15</v>
      </c>
      <c r="K60" t="s">
        <v>102</v>
      </c>
      <c r="L60" s="23">
        <v>0.22</v>
      </c>
    </row>
    <row r="61" spans="1:12" ht="16">
      <c r="A61" s="46" t="str">
        <f>'Ratings worksheet'!A61</f>
        <v>Guernsey (States of)</v>
      </c>
      <c r="B61" s="93">
        <f t="shared" si="0"/>
        <v>0</v>
      </c>
      <c r="C61">
        <v>0</v>
      </c>
      <c r="E61" t="s">
        <v>178</v>
      </c>
      <c r="F61" s="47">
        <v>0.3</v>
      </c>
      <c r="K61" t="s">
        <v>385</v>
      </c>
      <c r="L61" s="23">
        <v>0.25</v>
      </c>
    </row>
    <row r="62" spans="1:12" ht="16">
      <c r="A62" s="46" t="str">
        <f>'Ratings worksheet'!A62</f>
        <v>Honduras</v>
      </c>
      <c r="B62" s="93">
        <f t="shared" si="0"/>
        <v>0.3</v>
      </c>
      <c r="C62">
        <f t="shared" si="1"/>
        <v>0.3</v>
      </c>
      <c r="E62" t="s">
        <v>218</v>
      </c>
      <c r="F62" s="47">
        <v>0.25</v>
      </c>
      <c r="K62" t="s">
        <v>399</v>
      </c>
      <c r="L62" s="23">
        <v>0.25</v>
      </c>
    </row>
    <row r="63" spans="1:12" ht="16">
      <c r="A63" s="46" t="str">
        <f>'Ratings worksheet'!A63</f>
        <v>Hong Kong</v>
      </c>
      <c r="B63" s="93">
        <f t="shared" si="0"/>
        <v>0.16500000000000001</v>
      </c>
      <c r="C63">
        <v>0.16500000000000001</v>
      </c>
      <c r="E63" t="s">
        <v>407</v>
      </c>
      <c r="F63" s="47">
        <v>0.1</v>
      </c>
      <c r="K63" t="s">
        <v>103</v>
      </c>
      <c r="L63" s="23">
        <v>0.27</v>
      </c>
    </row>
    <row r="64" spans="1:12" ht="16">
      <c r="A64" s="46" t="str">
        <f>'Ratings worksheet'!A64</f>
        <v>Hungary</v>
      </c>
      <c r="B64" s="93">
        <f t="shared" si="0"/>
        <v>0.09</v>
      </c>
      <c r="C64">
        <f t="shared" si="1"/>
        <v>0.09</v>
      </c>
      <c r="E64" t="s">
        <v>179</v>
      </c>
      <c r="F64" s="47">
        <v>0.22</v>
      </c>
      <c r="K64" t="s">
        <v>104</v>
      </c>
      <c r="L64" s="23">
        <v>0.25</v>
      </c>
    </row>
    <row r="65" spans="1:12" ht="16">
      <c r="A65" s="46" t="str">
        <f>'Ratings worksheet'!A65</f>
        <v>Iceland</v>
      </c>
      <c r="B65" s="93">
        <f t="shared" si="0"/>
        <v>0.21</v>
      </c>
      <c r="C65">
        <f t="shared" si="1"/>
        <v>0.21</v>
      </c>
      <c r="E65" t="s">
        <v>392</v>
      </c>
      <c r="F65" s="47">
        <v>0.28000000000000003</v>
      </c>
      <c r="K65" t="s">
        <v>105</v>
      </c>
      <c r="L65" s="23">
        <v>0.22500000000000001</v>
      </c>
    </row>
    <row r="66" spans="1:12" ht="16">
      <c r="A66" s="46" t="str">
        <f>'Ratings worksheet'!A66</f>
        <v>India</v>
      </c>
      <c r="B66" s="93">
        <f t="shared" si="0"/>
        <v>0.3</v>
      </c>
      <c r="C66">
        <f t="shared" si="1"/>
        <v>0.3</v>
      </c>
      <c r="E66" t="s">
        <v>107</v>
      </c>
      <c r="F66" s="47">
        <v>0.25</v>
      </c>
      <c r="K66" t="s">
        <v>31</v>
      </c>
      <c r="L66" s="23">
        <v>0.3</v>
      </c>
    </row>
    <row r="67" spans="1:12" ht="16">
      <c r="A67" s="46" t="s">
        <v>112</v>
      </c>
      <c r="B67" s="93">
        <f t="shared" si="0"/>
        <v>0.22</v>
      </c>
      <c r="C67">
        <f t="shared" ref="C67:C130" si="2">VLOOKUP(A67,$K$2:$L$226,2,FALSE)</f>
        <v>0.22</v>
      </c>
      <c r="E67" t="s">
        <v>408</v>
      </c>
      <c r="F67" s="47">
        <v>0</v>
      </c>
      <c r="K67" t="s">
        <v>373</v>
      </c>
      <c r="L67" s="23">
        <v>0.35</v>
      </c>
    </row>
    <row r="68" spans="1:12" ht="16">
      <c r="A68" s="46" t="str">
        <f>'Ratings worksheet'!A68</f>
        <v>Iraq</v>
      </c>
      <c r="B68" s="93">
        <f t="shared" ref="B68:B131" si="3">C68</f>
        <v>0.15</v>
      </c>
      <c r="C68">
        <f t="shared" si="2"/>
        <v>0.15</v>
      </c>
      <c r="E68" t="s">
        <v>108</v>
      </c>
      <c r="F68" s="47">
        <v>0.25</v>
      </c>
      <c r="K68" t="s">
        <v>505</v>
      </c>
      <c r="L68" s="23">
        <v>0.3</v>
      </c>
    </row>
    <row r="69" spans="1:12" ht="16">
      <c r="A69" s="46" t="str">
        <f>'Ratings worksheet'!A69</f>
        <v>Ireland</v>
      </c>
      <c r="B69" s="93">
        <f t="shared" si="3"/>
        <v>0.125</v>
      </c>
      <c r="C69">
        <f t="shared" si="2"/>
        <v>0.125</v>
      </c>
      <c r="E69" t="s">
        <v>409</v>
      </c>
      <c r="F69" s="47">
        <v>0.16500000000000001</v>
      </c>
      <c r="K69" t="s">
        <v>106</v>
      </c>
      <c r="L69" s="23">
        <v>0.2</v>
      </c>
    </row>
    <row r="70" spans="1:12" ht="16">
      <c r="A70" s="46" t="str">
        <f>'Ratings worksheet'!A70</f>
        <v>Isle of Man</v>
      </c>
      <c r="B70" s="93">
        <f t="shared" si="3"/>
        <v>0</v>
      </c>
      <c r="C70">
        <f t="shared" si="2"/>
        <v>0</v>
      </c>
      <c r="E70" t="s">
        <v>109</v>
      </c>
      <c r="F70" s="47">
        <v>0.09</v>
      </c>
      <c r="K70" t="s">
        <v>279</v>
      </c>
      <c r="L70" s="23">
        <v>0.3</v>
      </c>
    </row>
    <row r="71" spans="1:12" ht="16">
      <c r="A71" s="46" t="str">
        <f>'Ratings worksheet'!A71</f>
        <v>Israel</v>
      </c>
      <c r="B71" s="93">
        <f t="shared" si="3"/>
        <v>0.23</v>
      </c>
      <c r="C71">
        <f t="shared" si="2"/>
        <v>0.23</v>
      </c>
      <c r="E71" t="s">
        <v>110</v>
      </c>
      <c r="F71" s="47">
        <v>0.2</v>
      </c>
      <c r="K71" t="s">
        <v>619</v>
      </c>
      <c r="L71" s="23">
        <v>0.26</v>
      </c>
    </row>
    <row r="72" spans="1:12" ht="16">
      <c r="A72" s="46" t="str">
        <f>'Ratings worksheet'!A72</f>
        <v>Italy</v>
      </c>
      <c r="B72" s="93">
        <f t="shared" si="3"/>
        <v>0.27810000000000001</v>
      </c>
      <c r="C72">
        <f t="shared" si="2"/>
        <v>0.27810000000000001</v>
      </c>
      <c r="E72" t="s">
        <v>111</v>
      </c>
      <c r="F72" s="47">
        <v>0.3</v>
      </c>
      <c r="K72" t="s">
        <v>381</v>
      </c>
      <c r="L72" s="23">
        <v>0.18</v>
      </c>
    </row>
    <row r="73" spans="1:12" ht="16">
      <c r="A73" s="46" t="str">
        <f>'Ratings worksheet'!A73</f>
        <v>Jamaica</v>
      </c>
      <c r="B73" s="93">
        <f t="shared" si="3"/>
        <v>0.25</v>
      </c>
      <c r="C73">
        <f t="shared" si="2"/>
        <v>0.25</v>
      </c>
      <c r="E73" t="s">
        <v>112</v>
      </c>
      <c r="F73" s="47">
        <v>0.22</v>
      </c>
      <c r="K73" t="s">
        <v>544</v>
      </c>
      <c r="L73" s="23">
        <v>0.3</v>
      </c>
    </row>
    <row r="74" spans="1:12" ht="16">
      <c r="A74" s="46" t="str">
        <f>'Ratings worksheet'!A74</f>
        <v>Japan</v>
      </c>
      <c r="B74" s="93">
        <f t="shared" si="3"/>
        <v>0.2974</v>
      </c>
      <c r="C74">
        <f t="shared" si="2"/>
        <v>0.2974</v>
      </c>
      <c r="E74" t="s">
        <v>323</v>
      </c>
      <c r="F74" s="47">
        <v>0.15</v>
      </c>
      <c r="K74" t="s">
        <v>216</v>
      </c>
      <c r="L74" s="23">
        <v>0.25</v>
      </c>
    </row>
    <row r="75" spans="1:12" ht="16">
      <c r="A75" s="46" t="str">
        <f>'Ratings worksheet'!A75</f>
        <v>Jersey (States of)</v>
      </c>
      <c r="B75" s="93">
        <f t="shared" si="3"/>
        <v>0</v>
      </c>
      <c r="C75">
        <v>0</v>
      </c>
      <c r="E75" t="s">
        <v>180</v>
      </c>
      <c r="F75" s="47">
        <v>0.125</v>
      </c>
      <c r="K75" t="s">
        <v>176</v>
      </c>
      <c r="L75" s="23">
        <v>0.2</v>
      </c>
    </row>
    <row r="76" spans="1:12" ht="16">
      <c r="A76" s="46" t="str">
        <f>'Ratings worksheet'!A76</f>
        <v>Jordan</v>
      </c>
      <c r="B76" s="93">
        <f t="shared" si="3"/>
        <v>0.2</v>
      </c>
      <c r="C76">
        <f t="shared" si="2"/>
        <v>0.2</v>
      </c>
      <c r="E76" t="s">
        <v>113</v>
      </c>
      <c r="F76" s="47">
        <v>0</v>
      </c>
      <c r="K76" t="s">
        <v>177</v>
      </c>
      <c r="L76" s="23">
        <v>0.25829999999999997</v>
      </c>
    </row>
    <row r="77" spans="1:12" ht="16">
      <c r="A77" s="46" t="str">
        <f>'Ratings worksheet'!A77</f>
        <v>Kazakhstan</v>
      </c>
      <c r="B77" s="93">
        <f t="shared" si="3"/>
        <v>0.2</v>
      </c>
      <c r="C77">
        <f t="shared" si="2"/>
        <v>0.2</v>
      </c>
      <c r="E77" t="s">
        <v>114</v>
      </c>
      <c r="F77" s="47">
        <v>0.23</v>
      </c>
      <c r="K77" t="s">
        <v>491</v>
      </c>
      <c r="L77" s="23">
        <v>0.25</v>
      </c>
    </row>
    <row r="78" spans="1:12" ht="16">
      <c r="A78" s="46" t="str">
        <f>'Ratings worksheet'!A78</f>
        <v>Kenya</v>
      </c>
      <c r="B78" s="93">
        <f t="shared" si="3"/>
        <v>0.3</v>
      </c>
      <c r="C78">
        <f t="shared" si="2"/>
        <v>0.3</v>
      </c>
      <c r="E78" t="s">
        <v>144</v>
      </c>
      <c r="F78" s="47">
        <v>0.24</v>
      </c>
      <c r="K78" t="s">
        <v>217</v>
      </c>
      <c r="L78" s="23">
        <v>0.3</v>
      </c>
    </row>
    <row r="79" spans="1:12" ht="16">
      <c r="A79" s="46" t="str">
        <f>'Ratings worksheet'!A79</f>
        <v>Korea</v>
      </c>
      <c r="B79" s="93">
        <f t="shared" si="3"/>
        <v>0.26400000000000001</v>
      </c>
      <c r="C79">
        <f t="shared" si="2"/>
        <v>0.26400000000000001</v>
      </c>
      <c r="E79" t="s">
        <v>437</v>
      </c>
      <c r="F79" s="47">
        <v>0.25</v>
      </c>
      <c r="K79" t="s">
        <v>326</v>
      </c>
      <c r="L79" s="23">
        <v>0.27</v>
      </c>
    </row>
    <row r="80" spans="1:12" ht="16">
      <c r="A80" s="46" t="str">
        <f>'Ratings worksheet'!A80</f>
        <v>Kuwait</v>
      </c>
      <c r="B80" s="93">
        <f t="shared" si="3"/>
        <v>0.15</v>
      </c>
      <c r="C80">
        <f t="shared" si="2"/>
        <v>0.15</v>
      </c>
      <c r="E80" t="s">
        <v>115</v>
      </c>
      <c r="F80" s="47">
        <v>0.25</v>
      </c>
      <c r="K80" t="s">
        <v>133</v>
      </c>
      <c r="L80" s="23">
        <v>0.15</v>
      </c>
    </row>
    <row r="81" spans="1:12" ht="16">
      <c r="A81" s="46" t="str">
        <f>'Ratings worksheet'!A81</f>
        <v>Kyrgyzstan</v>
      </c>
      <c r="B81" s="93">
        <f t="shared" si="3"/>
        <v>0.1</v>
      </c>
      <c r="C81">
        <f t="shared" si="2"/>
        <v>0.1</v>
      </c>
      <c r="E81" t="s">
        <v>116</v>
      </c>
      <c r="F81" s="47">
        <v>0.30620000000000003</v>
      </c>
      <c r="K81" t="s">
        <v>178</v>
      </c>
      <c r="L81" s="23">
        <v>0.29930000000000001</v>
      </c>
    </row>
    <row r="82" spans="1:12" ht="16">
      <c r="A82" s="46" t="s">
        <v>334</v>
      </c>
      <c r="B82" s="93">
        <f t="shared" si="3"/>
        <v>0.2</v>
      </c>
      <c r="C82">
        <f t="shared" si="2"/>
        <v>0.2</v>
      </c>
      <c r="E82" t="s">
        <v>410</v>
      </c>
      <c r="F82" s="47">
        <v>0</v>
      </c>
      <c r="K82" t="s">
        <v>218</v>
      </c>
      <c r="L82" s="23">
        <v>0.25</v>
      </c>
    </row>
    <row r="83" spans="1:12" ht="16">
      <c r="A83" s="46" t="str">
        <f>'Ratings worksheet'!A83</f>
        <v>Latvia</v>
      </c>
      <c r="B83" s="93">
        <f t="shared" si="3"/>
        <v>0.2</v>
      </c>
      <c r="C83">
        <f t="shared" si="2"/>
        <v>0.2</v>
      </c>
      <c r="E83" t="s">
        <v>117</v>
      </c>
      <c r="F83" s="47">
        <v>0.2</v>
      </c>
      <c r="K83" t="s">
        <v>407</v>
      </c>
      <c r="L83" s="23">
        <v>0.15</v>
      </c>
    </row>
    <row r="84" spans="1:12" ht="16">
      <c r="A84" s="46" t="str">
        <f>'Ratings worksheet'!A84</f>
        <v>Lebanon</v>
      </c>
      <c r="B84" s="93">
        <f t="shared" si="3"/>
        <v>0.17</v>
      </c>
      <c r="C84">
        <f t="shared" si="2"/>
        <v>0.17</v>
      </c>
      <c r="E84" t="s">
        <v>118</v>
      </c>
      <c r="F84" s="47">
        <v>0.2</v>
      </c>
      <c r="K84" t="s">
        <v>179</v>
      </c>
      <c r="L84" s="23">
        <v>0.22</v>
      </c>
    </row>
    <row r="85" spans="1:12" ht="16">
      <c r="A85" s="46" t="str">
        <f>'Ratings worksheet'!A85</f>
        <v>Liechtenstein</v>
      </c>
      <c r="B85" s="93">
        <f t="shared" si="3"/>
        <v>0.125</v>
      </c>
      <c r="C85">
        <f t="shared" si="2"/>
        <v>0.125</v>
      </c>
      <c r="E85" t="s">
        <v>181</v>
      </c>
      <c r="F85" s="47">
        <v>0.3</v>
      </c>
      <c r="K85" t="s">
        <v>382</v>
      </c>
      <c r="L85" s="23">
        <v>0.26500000000000001</v>
      </c>
    </row>
    <row r="86" spans="1:12" ht="16">
      <c r="A86" s="46" t="str">
        <f>'Ratings worksheet'!A86</f>
        <v>Lithuania</v>
      </c>
      <c r="B86" s="93">
        <f t="shared" si="3"/>
        <v>0.15</v>
      </c>
      <c r="C86">
        <f t="shared" si="2"/>
        <v>0.15</v>
      </c>
      <c r="E86" t="s">
        <v>411</v>
      </c>
      <c r="F86" s="47">
        <v>0.24</v>
      </c>
      <c r="K86" t="s">
        <v>392</v>
      </c>
      <c r="L86" s="23">
        <v>0.28000000000000003</v>
      </c>
    </row>
    <row r="87" spans="1:12" ht="16">
      <c r="A87" s="46" t="str">
        <f>'Ratings worksheet'!A87</f>
        <v>Luxembourg</v>
      </c>
      <c r="B87" s="93">
        <f t="shared" si="3"/>
        <v>0.24940000000000001</v>
      </c>
      <c r="C87">
        <f t="shared" si="2"/>
        <v>0.24940000000000001</v>
      </c>
      <c r="E87" t="s">
        <v>120</v>
      </c>
      <c r="F87" s="47">
        <v>0.15</v>
      </c>
      <c r="K87" t="s">
        <v>426</v>
      </c>
      <c r="L87" s="23">
        <v>0.21</v>
      </c>
    </row>
    <row r="88" spans="1:12" ht="16">
      <c r="A88" s="46" t="str">
        <f>'Ratings worksheet'!A88</f>
        <v>Macao</v>
      </c>
      <c r="B88" s="93">
        <f t="shared" si="3"/>
        <v>0.25</v>
      </c>
      <c r="C88">
        <v>0.25</v>
      </c>
      <c r="E88" t="s">
        <v>342</v>
      </c>
      <c r="F88" s="47">
        <v>0.1</v>
      </c>
      <c r="K88" t="s">
        <v>107</v>
      </c>
      <c r="L88" s="23">
        <v>0.25</v>
      </c>
    </row>
    <row r="89" spans="1:12" ht="16">
      <c r="A89" s="46" t="str">
        <f>'Ratings worksheet'!A89</f>
        <v>Macedonia</v>
      </c>
      <c r="B89" s="93">
        <f t="shared" si="3"/>
        <v>0.1</v>
      </c>
      <c r="C89">
        <f t="shared" si="2"/>
        <v>0.1</v>
      </c>
      <c r="E89" t="s">
        <v>121</v>
      </c>
      <c r="F89" s="47">
        <v>0.2</v>
      </c>
      <c r="K89" t="s">
        <v>408</v>
      </c>
      <c r="L89" s="23">
        <v>0</v>
      </c>
    </row>
    <row r="90" spans="1:12" ht="16">
      <c r="A90" s="46" t="s">
        <v>14</v>
      </c>
      <c r="B90" s="93">
        <f t="shared" si="3"/>
        <v>0.24</v>
      </c>
      <c r="C90">
        <f t="shared" si="2"/>
        <v>0.24</v>
      </c>
      <c r="E90" t="s">
        <v>122</v>
      </c>
      <c r="F90" s="47">
        <v>0.17</v>
      </c>
      <c r="K90" t="s">
        <v>309</v>
      </c>
      <c r="L90" s="23">
        <v>0.25</v>
      </c>
    </row>
    <row r="91" spans="1:12" ht="16">
      <c r="A91" s="46" t="str">
        <f>'Ratings worksheet'!A91</f>
        <v>Maldives</v>
      </c>
      <c r="B91" s="93">
        <f t="shared" si="3"/>
        <v>0.15</v>
      </c>
      <c r="C91">
        <f t="shared" si="2"/>
        <v>0.15</v>
      </c>
      <c r="E91" t="s">
        <v>314</v>
      </c>
      <c r="F91" s="47">
        <v>0.24</v>
      </c>
      <c r="K91" t="s">
        <v>325</v>
      </c>
      <c r="L91" s="23">
        <v>0.25</v>
      </c>
    </row>
    <row r="92" spans="1:12" ht="16">
      <c r="A92" s="46" t="s">
        <v>317</v>
      </c>
      <c r="B92" s="93">
        <f t="shared" si="3"/>
        <v>0.3</v>
      </c>
      <c r="C92">
        <f t="shared" si="2"/>
        <v>0.3</v>
      </c>
      <c r="E92" t="s">
        <v>220</v>
      </c>
      <c r="F92" s="47">
        <v>0.125</v>
      </c>
      <c r="K92" t="s">
        <v>322</v>
      </c>
      <c r="L92" s="23">
        <v>0.25</v>
      </c>
    </row>
    <row r="93" spans="1:12" ht="16">
      <c r="A93" s="46" t="s">
        <v>183</v>
      </c>
      <c r="B93" s="93">
        <f t="shared" si="3"/>
        <v>0.35</v>
      </c>
      <c r="C93">
        <f t="shared" si="2"/>
        <v>0.35</v>
      </c>
      <c r="E93" t="s">
        <v>13</v>
      </c>
      <c r="F93" s="47">
        <v>0.15</v>
      </c>
      <c r="K93" t="s">
        <v>318</v>
      </c>
      <c r="L93" s="23">
        <v>0.3</v>
      </c>
    </row>
    <row r="94" spans="1:12" ht="16">
      <c r="A94" s="46" t="str">
        <f>'Ratings worksheet'!A94</f>
        <v>Mauritius</v>
      </c>
      <c r="B94" s="93">
        <f t="shared" si="3"/>
        <v>0.15</v>
      </c>
      <c r="C94">
        <f t="shared" si="2"/>
        <v>0.15</v>
      </c>
      <c r="E94" t="s">
        <v>182</v>
      </c>
      <c r="F94" s="47">
        <v>0.24940000000000001</v>
      </c>
      <c r="K94" t="s">
        <v>108</v>
      </c>
      <c r="L94" s="23">
        <v>0.3</v>
      </c>
    </row>
    <row r="95" spans="1:12" ht="16">
      <c r="A95" s="46" t="str">
        <f>'Ratings worksheet'!A95</f>
        <v>Mexico</v>
      </c>
      <c r="B95" s="93">
        <f t="shared" si="3"/>
        <v>0.3</v>
      </c>
      <c r="C95">
        <f t="shared" si="2"/>
        <v>0.3</v>
      </c>
      <c r="E95" t="s">
        <v>344</v>
      </c>
      <c r="F95" s="47">
        <v>0.12</v>
      </c>
      <c r="K95" t="s">
        <v>109</v>
      </c>
      <c r="L95" s="23">
        <v>0.09</v>
      </c>
    </row>
    <row r="96" spans="1:12" ht="16">
      <c r="A96" s="46" t="str">
        <f>'Ratings worksheet'!A96</f>
        <v>Moldova</v>
      </c>
      <c r="B96" s="93">
        <f t="shared" si="3"/>
        <v>0.12</v>
      </c>
      <c r="C96">
        <f t="shared" si="2"/>
        <v>0.12</v>
      </c>
      <c r="E96" t="s">
        <v>145</v>
      </c>
      <c r="F96" s="47">
        <v>0.1</v>
      </c>
      <c r="K96" t="s">
        <v>110</v>
      </c>
      <c r="L96" s="23">
        <v>0.21</v>
      </c>
    </row>
    <row r="97" spans="1:12" ht="16">
      <c r="A97" s="46" t="str">
        <f>'Ratings worksheet'!A97</f>
        <v>Mongolia</v>
      </c>
      <c r="B97" s="93">
        <f t="shared" si="3"/>
        <v>0.25</v>
      </c>
      <c r="C97">
        <f t="shared" si="2"/>
        <v>0.25</v>
      </c>
      <c r="E97" t="s">
        <v>328</v>
      </c>
      <c r="F97" s="47">
        <v>0.2</v>
      </c>
      <c r="K97" t="s">
        <v>111</v>
      </c>
      <c r="L97" s="23">
        <v>0.3</v>
      </c>
    </row>
    <row r="98" spans="1:12" ht="16">
      <c r="A98" s="46" t="str">
        <f>'Ratings worksheet'!A98</f>
        <v>Montenegro</v>
      </c>
      <c r="B98" s="93">
        <f t="shared" si="3"/>
        <v>0.15</v>
      </c>
      <c r="C98">
        <f t="shared" si="2"/>
        <v>0.15</v>
      </c>
      <c r="E98" t="s">
        <v>319</v>
      </c>
      <c r="F98" s="47">
        <v>0.3</v>
      </c>
      <c r="K98" t="s">
        <v>112</v>
      </c>
      <c r="L98" s="23">
        <v>0.22</v>
      </c>
    </row>
    <row r="99" spans="1:12" ht="16">
      <c r="A99" s="46" t="str">
        <f>'Ratings worksheet'!A99</f>
        <v>Montserrat</v>
      </c>
      <c r="B99" s="93">
        <f t="shared" si="3"/>
        <v>0.3</v>
      </c>
      <c r="C99">
        <f t="shared" si="2"/>
        <v>0.3</v>
      </c>
      <c r="E99" t="s">
        <v>14</v>
      </c>
      <c r="F99" s="47">
        <v>0.24</v>
      </c>
      <c r="K99" t="s">
        <v>320</v>
      </c>
      <c r="L99" s="23">
        <v>0.25</v>
      </c>
    </row>
    <row r="100" spans="1:12" ht="16">
      <c r="A100" s="46" t="str">
        <f>'Ratings worksheet'!A100</f>
        <v>Morocco</v>
      </c>
      <c r="B100" s="93">
        <f t="shared" si="3"/>
        <v>0.33</v>
      </c>
      <c r="C100">
        <f t="shared" si="2"/>
        <v>0.33</v>
      </c>
      <c r="E100" t="s">
        <v>183</v>
      </c>
      <c r="F100" s="47">
        <v>0.35</v>
      </c>
      <c r="K100" t="s">
        <v>323</v>
      </c>
      <c r="L100" s="23">
        <v>0.15</v>
      </c>
    </row>
    <row r="101" spans="1:12" ht="16">
      <c r="A101" s="46" t="str">
        <f>'Ratings worksheet'!A101</f>
        <v>Mozambique</v>
      </c>
      <c r="B101" s="93">
        <f t="shared" si="3"/>
        <v>0.32</v>
      </c>
      <c r="C101">
        <f t="shared" si="2"/>
        <v>0.32</v>
      </c>
      <c r="E101" t="s">
        <v>377</v>
      </c>
      <c r="F101" s="47">
        <v>0.25</v>
      </c>
      <c r="K101" t="s">
        <v>180</v>
      </c>
      <c r="L101" s="23">
        <v>0.125</v>
      </c>
    </row>
    <row r="102" spans="1:12" ht="16">
      <c r="A102" s="46" t="str">
        <f>'Ratings worksheet'!A102</f>
        <v>Namibia</v>
      </c>
      <c r="B102" s="93">
        <f t="shared" si="3"/>
        <v>0.32</v>
      </c>
      <c r="C102">
        <f t="shared" si="2"/>
        <v>0.32</v>
      </c>
      <c r="E102" t="s">
        <v>15</v>
      </c>
      <c r="F102" s="47">
        <v>0.15</v>
      </c>
      <c r="K102" t="s">
        <v>113</v>
      </c>
      <c r="L102" s="23">
        <v>0</v>
      </c>
    </row>
    <row r="103" spans="1:12" ht="16">
      <c r="A103" s="46" t="s">
        <v>369</v>
      </c>
      <c r="B103" s="93">
        <f t="shared" ref="B103" si="4">C103</f>
        <v>0.25</v>
      </c>
      <c r="C103">
        <f t="shared" si="2"/>
        <v>0.25</v>
      </c>
      <c r="E103" t="s">
        <v>16</v>
      </c>
      <c r="F103" s="47">
        <v>0.3</v>
      </c>
      <c r="K103" t="s">
        <v>114</v>
      </c>
      <c r="L103" s="23">
        <v>0.23</v>
      </c>
    </row>
    <row r="104" spans="1:12" ht="16">
      <c r="A104" s="46" t="str">
        <f>'Ratings worksheet'!A104</f>
        <v>Netherlands</v>
      </c>
      <c r="B104" s="93">
        <f t="shared" si="3"/>
        <v>0.25800000000000001</v>
      </c>
      <c r="C104">
        <f t="shared" si="2"/>
        <v>0.25800000000000001</v>
      </c>
      <c r="E104" t="s">
        <v>17</v>
      </c>
      <c r="F104" s="47">
        <v>0.12</v>
      </c>
      <c r="K104" t="s">
        <v>144</v>
      </c>
      <c r="L104" s="23">
        <v>0.27810000000000001</v>
      </c>
    </row>
    <row r="105" spans="1:12" ht="16">
      <c r="A105" s="46" t="str">
        <f>'Ratings worksheet'!A105</f>
        <v>New Zealand</v>
      </c>
      <c r="B105" s="93">
        <f t="shared" si="3"/>
        <v>0.28000000000000003</v>
      </c>
      <c r="C105">
        <f t="shared" si="2"/>
        <v>0.28000000000000003</v>
      </c>
      <c r="E105" t="s">
        <v>427</v>
      </c>
      <c r="F105" s="47">
        <v>0.33</v>
      </c>
      <c r="K105" t="s">
        <v>115</v>
      </c>
      <c r="L105" s="23">
        <v>0.25</v>
      </c>
    </row>
    <row r="106" spans="1:12" ht="16">
      <c r="A106" s="46" t="str">
        <f>'Ratings worksheet'!A106</f>
        <v>Nicaragua</v>
      </c>
      <c r="B106" s="93">
        <f t="shared" si="3"/>
        <v>0.3</v>
      </c>
      <c r="C106">
        <f t="shared" si="2"/>
        <v>0.3</v>
      </c>
      <c r="E106" t="s">
        <v>63</v>
      </c>
      <c r="F106" s="47">
        <v>0.25</v>
      </c>
      <c r="K106" t="s">
        <v>116</v>
      </c>
      <c r="L106" s="23">
        <v>0.2974</v>
      </c>
    </row>
    <row r="107" spans="1:12" ht="16">
      <c r="A107" s="46" t="s">
        <v>313</v>
      </c>
      <c r="B107" s="93">
        <f t="shared" si="3"/>
        <v>0.3</v>
      </c>
      <c r="C107">
        <f t="shared" si="2"/>
        <v>0.3</v>
      </c>
      <c r="E107" t="s">
        <v>8</v>
      </c>
      <c r="F107" s="47">
        <v>0.15</v>
      </c>
      <c r="K107" t="s">
        <v>410</v>
      </c>
      <c r="L107" s="23">
        <v>0</v>
      </c>
    </row>
    <row r="108" spans="1:12" ht="16">
      <c r="A108" s="46" t="str">
        <f>'Ratings worksheet'!A108</f>
        <v>Nigeria</v>
      </c>
      <c r="B108" s="93">
        <f t="shared" si="3"/>
        <v>0.3</v>
      </c>
      <c r="C108">
        <f t="shared" si="2"/>
        <v>0.3</v>
      </c>
      <c r="E108" t="s">
        <v>18</v>
      </c>
      <c r="F108" s="47">
        <v>0.32</v>
      </c>
      <c r="K108" t="s">
        <v>117</v>
      </c>
      <c r="L108" s="23">
        <v>0.2</v>
      </c>
    </row>
    <row r="109" spans="1:12" ht="16">
      <c r="A109" s="46" t="str">
        <f>'Ratings worksheet'!A109</f>
        <v>Norway</v>
      </c>
      <c r="B109" s="93">
        <f t="shared" si="3"/>
        <v>0.22</v>
      </c>
      <c r="C109">
        <f t="shared" si="2"/>
        <v>0.22</v>
      </c>
      <c r="E109" t="s">
        <v>223</v>
      </c>
      <c r="F109" s="47">
        <v>0.32</v>
      </c>
      <c r="K109" t="s">
        <v>118</v>
      </c>
      <c r="L109" s="23">
        <v>0.2</v>
      </c>
    </row>
    <row r="110" spans="1:12" ht="16">
      <c r="A110" s="46" t="str">
        <f>'Ratings worksheet'!A110</f>
        <v>Oman</v>
      </c>
      <c r="B110" s="93">
        <f t="shared" si="3"/>
        <v>0.15</v>
      </c>
      <c r="C110">
        <f t="shared" si="2"/>
        <v>0.15</v>
      </c>
      <c r="E110" t="s">
        <v>327</v>
      </c>
      <c r="F110" s="47">
        <v>0.22</v>
      </c>
      <c r="K110" t="s">
        <v>181</v>
      </c>
      <c r="L110" s="23">
        <v>0.3</v>
      </c>
    </row>
    <row r="111" spans="1:12" ht="16">
      <c r="A111" s="46" t="str">
        <f>'Ratings worksheet'!A111</f>
        <v>Pakistan</v>
      </c>
      <c r="B111" s="93">
        <f t="shared" si="3"/>
        <v>0.28999999999999998</v>
      </c>
      <c r="C111">
        <f t="shared" si="2"/>
        <v>0.28999999999999998</v>
      </c>
      <c r="E111" t="s">
        <v>136</v>
      </c>
      <c r="F111" s="47">
        <v>0.32</v>
      </c>
      <c r="K111" t="s">
        <v>404</v>
      </c>
      <c r="L111" s="23">
        <v>0.3</v>
      </c>
    </row>
    <row r="112" spans="1:12" ht="16">
      <c r="A112" s="46" t="str">
        <f>'Ratings worksheet'!A112</f>
        <v>Panama</v>
      </c>
      <c r="B112" s="93">
        <f t="shared" si="3"/>
        <v>0.25</v>
      </c>
      <c r="C112">
        <f t="shared" si="2"/>
        <v>0.25</v>
      </c>
      <c r="E112" t="s">
        <v>369</v>
      </c>
      <c r="F112" s="47">
        <v>0.25</v>
      </c>
      <c r="K112" t="s">
        <v>119</v>
      </c>
      <c r="L112" s="23">
        <v>0.26400000000000001</v>
      </c>
    </row>
    <row r="113" spans="1:12" ht="16">
      <c r="A113" s="46" t="str">
        <f>'Ratings worksheet'!A113</f>
        <v>Papua New Guinea</v>
      </c>
      <c r="B113" s="93">
        <f t="shared" si="3"/>
        <v>0.3</v>
      </c>
      <c r="C113">
        <f t="shared" si="2"/>
        <v>0.3</v>
      </c>
      <c r="E113" t="s">
        <v>184</v>
      </c>
      <c r="F113" s="47">
        <v>0.25800000000000001</v>
      </c>
      <c r="K113" s="235" t="s">
        <v>376</v>
      </c>
      <c r="L113" s="23">
        <v>0.1</v>
      </c>
    </row>
    <row r="114" spans="1:12" ht="16">
      <c r="A114" s="46" t="str">
        <f>'Ratings worksheet'!A114</f>
        <v>Paraguay</v>
      </c>
      <c r="B114" s="93">
        <f t="shared" si="3"/>
        <v>0.1</v>
      </c>
      <c r="C114">
        <f t="shared" si="2"/>
        <v>0.1</v>
      </c>
      <c r="E114" t="s">
        <v>21</v>
      </c>
      <c r="F114" s="47">
        <v>0.28000000000000003</v>
      </c>
      <c r="K114" t="s">
        <v>120</v>
      </c>
      <c r="L114" s="23">
        <v>0.15</v>
      </c>
    </row>
    <row r="115" spans="1:12" ht="16">
      <c r="A115" s="46" t="str">
        <f>'Ratings worksheet'!A115</f>
        <v>Peru</v>
      </c>
      <c r="B115" s="93">
        <f t="shared" si="3"/>
        <v>0.29499999999999998</v>
      </c>
      <c r="C115">
        <f t="shared" si="2"/>
        <v>0.29499999999999998</v>
      </c>
      <c r="E115" t="s">
        <v>22</v>
      </c>
      <c r="F115" s="47">
        <v>0.3</v>
      </c>
      <c r="K115" t="s">
        <v>342</v>
      </c>
      <c r="L115" s="23">
        <v>0.1</v>
      </c>
    </row>
    <row r="116" spans="1:12" ht="16">
      <c r="A116" s="46" t="str">
        <f>'Ratings worksheet'!A116</f>
        <v>Philippines</v>
      </c>
      <c r="B116" s="93">
        <f t="shared" si="3"/>
        <v>0.25</v>
      </c>
      <c r="C116">
        <f t="shared" si="2"/>
        <v>0.25</v>
      </c>
      <c r="E116" t="s">
        <v>185</v>
      </c>
      <c r="F116" s="47">
        <v>0.3</v>
      </c>
      <c r="K116" t="s">
        <v>334</v>
      </c>
      <c r="L116" s="23">
        <v>0.2</v>
      </c>
    </row>
    <row r="117" spans="1:12" ht="16">
      <c r="A117" s="46" t="str">
        <f>'Ratings worksheet'!A117</f>
        <v>Poland</v>
      </c>
      <c r="B117" s="93">
        <f t="shared" si="3"/>
        <v>0.19</v>
      </c>
      <c r="C117">
        <f t="shared" si="2"/>
        <v>0.19</v>
      </c>
      <c r="E117" t="s">
        <v>23</v>
      </c>
      <c r="F117" s="47">
        <v>0.22</v>
      </c>
      <c r="K117" t="s">
        <v>121</v>
      </c>
      <c r="L117" s="23">
        <v>0.2</v>
      </c>
    </row>
    <row r="118" spans="1:12" ht="16">
      <c r="A118" s="46" t="str">
        <f>'Ratings worksheet'!A118</f>
        <v>Portugal</v>
      </c>
      <c r="B118" s="93">
        <f t="shared" si="3"/>
        <v>0.315</v>
      </c>
      <c r="C118">
        <f t="shared" si="2"/>
        <v>0.315</v>
      </c>
      <c r="E118" t="s">
        <v>24</v>
      </c>
      <c r="F118" s="47">
        <v>0.15</v>
      </c>
      <c r="K118" t="s">
        <v>122</v>
      </c>
      <c r="L118" s="23">
        <v>0.17</v>
      </c>
    </row>
    <row r="119" spans="1:12" ht="16">
      <c r="A119" s="46" t="str">
        <f>'Ratings worksheet'!A119</f>
        <v>Qatar</v>
      </c>
      <c r="B119" s="93">
        <f t="shared" si="3"/>
        <v>0.1</v>
      </c>
      <c r="C119">
        <f t="shared" si="2"/>
        <v>0.1</v>
      </c>
      <c r="E119" t="s">
        <v>25</v>
      </c>
      <c r="F119" s="47">
        <v>0.28999999999999998</v>
      </c>
      <c r="K119" t="s">
        <v>383</v>
      </c>
      <c r="L119" s="23">
        <v>0.25</v>
      </c>
    </row>
    <row r="120" spans="1:12" ht="16">
      <c r="A120" s="46" t="str">
        <f>'Ratings worksheet'!A120</f>
        <v>Ras Al Khaimah (Emirate of)</v>
      </c>
      <c r="B120" s="93">
        <f t="shared" si="3"/>
        <v>0.18940000000000001</v>
      </c>
      <c r="C120" s="23">
        <v>0.18940000000000001</v>
      </c>
      <c r="E120" t="s">
        <v>438</v>
      </c>
      <c r="F120" s="47">
        <v>0.15</v>
      </c>
      <c r="K120" t="s">
        <v>310</v>
      </c>
      <c r="L120" s="23">
        <v>0.25</v>
      </c>
    </row>
    <row r="121" spans="1:12" ht="16">
      <c r="A121" s="46" t="str">
        <f>'Ratings worksheet'!A121</f>
        <v>Romania</v>
      </c>
      <c r="B121" s="93">
        <f t="shared" si="3"/>
        <v>0.16</v>
      </c>
      <c r="C121">
        <f t="shared" si="2"/>
        <v>0.16</v>
      </c>
      <c r="E121" t="s">
        <v>26</v>
      </c>
      <c r="F121" s="47">
        <v>0.25</v>
      </c>
      <c r="K121" t="s">
        <v>314</v>
      </c>
      <c r="L121" s="23">
        <v>0.2</v>
      </c>
    </row>
    <row r="122" spans="1:12" ht="16">
      <c r="A122" s="46" t="str">
        <f>'Ratings worksheet'!A122</f>
        <v>Russia</v>
      </c>
      <c r="B122" s="93">
        <f t="shared" si="3"/>
        <v>0.2</v>
      </c>
      <c r="C122">
        <f t="shared" si="2"/>
        <v>0.2</v>
      </c>
      <c r="E122" t="s">
        <v>9</v>
      </c>
      <c r="F122" s="47">
        <v>0.3</v>
      </c>
      <c r="K122" t="s">
        <v>220</v>
      </c>
      <c r="L122" s="23">
        <v>0.125</v>
      </c>
    </row>
    <row r="123" spans="1:12" ht="16">
      <c r="A123" s="46" t="str">
        <f>'Ratings worksheet'!A123</f>
        <v>Rwanda</v>
      </c>
      <c r="B123" s="93">
        <f t="shared" si="3"/>
        <v>0.28000000000000003</v>
      </c>
      <c r="C123">
        <f t="shared" si="2"/>
        <v>0.28000000000000003</v>
      </c>
      <c r="E123" t="s">
        <v>27</v>
      </c>
      <c r="F123" s="47">
        <v>0.1</v>
      </c>
      <c r="K123" t="s">
        <v>13</v>
      </c>
      <c r="L123" s="23">
        <v>0.15</v>
      </c>
    </row>
    <row r="124" spans="1:12" ht="16">
      <c r="A124" s="46" t="str">
        <f>'Ratings worksheet'!A124</f>
        <v>Saudi Arabia</v>
      </c>
      <c r="B124" s="93">
        <f t="shared" si="3"/>
        <v>0.2</v>
      </c>
      <c r="C124">
        <f t="shared" si="2"/>
        <v>0.2</v>
      </c>
      <c r="E124" t="s">
        <v>28</v>
      </c>
      <c r="F124" s="47">
        <v>0.29499999999999998</v>
      </c>
      <c r="K124" t="s">
        <v>182</v>
      </c>
      <c r="L124" s="23">
        <v>0.24940000000000001</v>
      </c>
    </row>
    <row r="125" spans="1:12" ht="16">
      <c r="A125" s="46" t="str">
        <f>'Ratings worksheet'!A125</f>
        <v>Senegal</v>
      </c>
      <c r="B125" s="93">
        <f t="shared" si="3"/>
        <v>0.3</v>
      </c>
      <c r="C125">
        <f t="shared" si="2"/>
        <v>0.3</v>
      </c>
      <c r="E125" t="s">
        <v>29</v>
      </c>
      <c r="F125" s="47">
        <v>0.25</v>
      </c>
      <c r="K125" t="s">
        <v>145</v>
      </c>
      <c r="L125" s="23">
        <v>0.1</v>
      </c>
    </row>
    <row r="126" spans="1:12" ht="16">
      <c r="A126" s="46" t="str">
        <f>'Ratings worksheet'!A126</f>
        <v>Serbia</v>
      </c>
      <c r="B126" s="93">
        <f t="shared" si="3"/>
        <v>0.15</v>
      </c>
      <c r="C126">
        <f t="shared" si="2"/>
        <v>0.15</v>
      </c>
      <c r="E126" t="s">
        <v>30</v>
      </c>
      <c r="F126" s="47">
        <v>0.19</v>
      </c>
      <c r="K126" t="s">
        <v>328</v>
      </c>
      <c r="L126" s="23">
        <v>0.2</v>
      </c>
    </row>
    <row r="127" spans="1:12" ht="16">
      <c r="A127" s="46" t="str">
        <f>'Ratings worksheet'!A127</f>
        <v>Sharjah</v>
      </c>
      <c r="B127" s="93">
        <f t="shared" si="3"/>
        <v>0.18940000000000001</v>
      </c>
      <c r="C127" s="23">
        <v>0.18940000000000001</v>
      </c>
      <c r="E127" t="s">
        <v>186</v>
      </c>
      <c r="F127" s="47">
        <v>0.21</v>
      </c>
      <c r="K127" t="s">
        <v>319</v>
      </c>
      <c r="L127" s="23">
        <v>0.3</v>
      </c>
    </row>
    <row r="128" spans="1:12" ht="16">
      <c r="A128" s="46" t="str">
        <f>'Ratings worksheet'!A128</f>
        <v>Singapore</v>
      </c>
      <c r="B128" s="93">
        <f t="shared" si="3"/>
        <v>0.17</v>
      </c>
      <c r="C128">
        <f t="shared" si="2"/>
        <v>0.17</v>
      </c>
      <c r="E128" t="s">
        <v>74</v>
      </c>
      <c r="F128" s="47">
        <v>0.1</v>
      </c>
      <c r="K128" t="s">
        <v>14</v>
      </c>
      <c r="L128" s="23">
        <v>0.24</v>
      </c>
    </row>
    <row r="129" spans="1:12" ht="16">
      <c r="A129" s="46" t="str">
        <f>'Ratings worksheet'!A129</f>
        <v>Slovakia</v>
      </c>
      <c r="B129" s="93">
        <f t="shared" si="3"/>
        <v>0.21</v>
      </c>
      <c r="C129">
        <f t="shared" si="2"/>
        <v>0.21</v>
      </c>
      <c r="E129" t="s">
        <v>0</v>
      </c>
      <c r="F129" s="47">
        <v>0.16</v>
      </c>
      <c r="K129" t="s">
        <v>379</v>
      </c>
      <c r="L129" s="23">
        <v>0.15</v>
      </c>
    </row>
    <row r="130" spans="1:12" ht="16">
      <c r="A130" s="46" t="s">
        <v>187</v>
      </c>
      <c r="B130" s="93">
        <f t="shared" si="3"/>
        <v>0.22</v>
      </c>
      <c r="C130">
        <f t="shared" si="2"/>
        <v>0.22</v>
      </c>
      <c r="E130" t="s">
        <v>1</v>
      </c>
      <c r="F130" s="47">
        <v>0.2</v>
      </c>
      <c r="K130" t="s">
        <v>317</v>
      </c>
      <c r="L130" s="23">
        <v>0.3</v>
      </c>
    </row>
    <row r="131" spans="1:12" ht="16">
      <c r="A131" s="46" t="str">
        <f>'Ratings worksheet'!A131</f>
        <v>Solomon Islands</v>
      </c>
      <c r="B131" s="93">
        <f t="shared" si="3"/>
        <v>0.3</v>
      </c>
      <c r="C131">
        <f t="shared" ref="C131:C159" si="5">VLOOKUP(A131,$K$2:$L$226,2,FALSE)</f>
        <v>0.3</v>
      </c>
      <c r="E131" t="s">
        <v>224</v>
      </c>
      <c r="F131" s="47">
        <v>0.3</v>
      </c>
      <c r="K131" t="s">
        <v>183</v>
      </c>
      <c r="L131" s="23">
        <v>0.35</v>
      </c>
    </row>
    <row r="132" spans="1:12" ht="16">
      <c r="A132" s="46" t="str">
        <f>'Ratings worksheet'!A132</f>
        <v>South Africa</v>
      </c>
      <c r="B132" s="93">
        <f t="shared" ref="B132:B159" si="6">C132</f>
        <v>0.27</v>
      </c>
      <c r="C132">
        <f t="shared" si="5"/>
        <v>0.27</v>
      </c>
      <c r="E132" t="s">
        <v>439</v>
      </c>
      <c r="F132" s="47">
        <v>0.33</v>
      </c>
      <c r="K132" t="s">
        <v>377</v>
      </c>
      <c r="L132" s="23">
        <v>0.25</v>
      </c>
    </row>
    <row r="133" spans="1:12" ht="16">
      <c r="A133" s="46" t="str">
        <f>'Ratings worksheet'!A133</f>
        <v>Spain</v>
      </c>
      <c r="B133" s="93">
        <f t="shared" si="6"/>
        <v>0.25</v>
      </c>
      <c r="C133">
        <f t="shared" si="5"/>
        <v>0.25</v>
      </c>
      <c r="E133" t="s">
        <v>440</v>
      </c>
      <c r="F133" s="47">
        <v>0.3</v>
      </c>
      <c r="K133" t="s">
        <v>15</v>
      </c>
      <c r="L133" s="23">
        <v>0.15</v>
      </c>
    </row>
    <row r="134" spans="1:12" ht="16">
      <c r="A134" s="46" t="str">
        <f>'Ratings worksheet'!A134</f>
        <v>Sri Lanka</v>
      </c>
      <c r="B134" s="93">
        <f t="shared" si="6"/>
        <v>0.3</v>
      </c>
      <c r="C134">
        <f t="shared" si="5"/>
        <v>0.3</v>
      </c>
      <c r="E134" t="s">
        <v>441</v>
      </c>
      <c r="F134" s="47">
        <v>0.3</v>
      </c>
      <c r="K134" t="s">
        <v>16</v>
      </c>
      <c r="L134" s="23">
        <v>0.3</v>
      </c>
    </row>
    <row r="135" spans="1:12" ht="16">
      <c r="A135" s="46" t="str">
        <f>'Ratings worksheet'!A135</f>
        <v>St. Maarten</v>
      </c>
      <c r="B135" s="93">
        <f t="shared" si="6"/>
        <v>0.2</v>
      </c>
      <c r="C135">
        <v>0.2</v>
      </c>
      <c r="E135" t="s">
        <v>395</v>
      </c>
      <c r="F135" s="47">
        <v>0.27</v>
      </c>
      <c r="K135" t="s">
        <v>17</v>
      </c>
      <c r="L135" s="23">
        <v>0.12</v>
      </c>
    </row>
    <row r="136" spans="1:12" ht="16">
      <c r="A136" s="46" t="str">
        <f>'Ratings worksheet'!A136</f>
        <v>St. Vincent &amp; the Grenadines</v>
      </c>
      <c r="B136" s="93">
        <f t="shared" si="6"/>
        <v>0.28000000000000003</v>
      </c>
      <c r="C136">
        <v>0.28000000000000003</v>
      </c>
      <c r="E136" t="s">
        <v>2</v>
      </c>
      <c r="F136" s="47">
        <v>0.2</v>
      </c>
      <c r="K136" t="s">
        <v>427</v>
      </c>
      <c r="L136" s="23">
        <v>0.25</v>
      </c>
    </row>
    <row r="137" spans="1:12" ht="16">
      <c r="A137" s="46" t="s">
        <v>33</v>
      </c>
      <c r="B137" s="93">
        <f t="shared" si="6"/>
        <v>0.36</v>
      </c>
      <c r="C137">
        <f t="shared" si="5"/>
        <v>0.36</v>
      </c>
      <c r="E137" t="s">
        <v>135</v>
      </c>
      <c r="F137" s="47">
        <v>0.3</v>
      </c>
      <c r="K137" t="s">
        <v>63</v>
      </c>
      <c r="L137" s="23">
        <v>0.25</v>
      </c>
    </row>
    <row r="138" spans="1:12" ht="16">
      <c r="A138" s="46" t="str">
        <f>'Ratings worksheet'!A138</f>
        <v>Swaziland</v>
      </c>
      <c r="B138" s="93">
        <f t="shared" si="6"/>
        <v>0.25</v>
      </c>
      <c r="C138">
        <f t="shared" si="5"/>
        <v>0.25</v>
      </c>
      <c r="E138" t="s">
        <v>146</v>
      </c>
      <c r="F138" s="47">
        <v>0.15</v>
      </c>
      <c r="K138" t="s">
        <v>8</v>
      </c>
      <c r="L138" s="23">
        <v>0.15</v>
      </c>
    </row>
    <row r="139" spans="1:12" ht="16">
      <c r="A139" s="46" t="str">
        <f>'Ratings worksheet'!A139</f>
        <v>Sweden</v>
      </c>
      <c r="B139" s="93">
        <f t="shared" si="6"/>
        <v>0.20600000000000002</v>
      </c>
      <c r="C139">
        <f t="shared" si="5"/>
        <v>0.20600000000000002</v>
      </c>
      <c r="E139" t="s">
        <v>321</v>
      </c>
      <c r="F139" s="47">
        <v>0.25</v>
      </c>
      <c r="K139" t="s">
        <v>222</v>
      </c>
      <c r="L139" s="23">
        <v>0.3</v>
      </c>
    </row>
    <row r="140" spans="1:12" ht="16">
      <c r="A140" s="46" t="str">
        <f>'Ratings worksheet'!A140</f>
        <v>Switzerland</v>
      </c>
      <c r="B140" s="93">
        <f t="shared" si="6"/>
        <v>0.1961</v>
      </c>
      <c r="C140">
        <f t="shared" si="5"/>
        <v>0.1961</v>
      </c>
      <c r="E140" t="s">
        <v>3</v>
      </c>
      <c r="F140" s="47">
        <v>0.17</v>
      </c>
      <c r="K140" t="s">
        <v>18</v>
      </c>
      <c r="L140" s="23">
        <v>0.33</v>
      </c>
    </row>
    <row r="141" spans="1:12" ht="16">
      <c r="A141" s="46" t="s">
        <v>64</v>
      </c>
      <c r="B141" s="93">
        <f t="shared" si="6"/>
        <v>0.2</v>
      </c>
      <c r="C141">
        <f t="shared" si="5"/>
        <v>0.2</v>
      </c>
      <c r="E141" t="s">
        <v>412</v>
      </c>
      <c r="F141" s="47">
        <v>0.35</v>
      </c>
      <c r="K141" t="s">
        <v>223</v>
      </c>
      <c r="L141" s="23">
        <v>0.32</v>
      </c>
    </row>
    <row r="142" spans="1:12" ht="16">
      <c r="A142" s="46" t="s">
        <v>375</v>
      </c>
      <c r="B142" s="93">
        <f t="shared" si="6"/>
        <v>0.18</v>
      </c>
      <c r="C142">
        <f t="shared" si="5"/>
        <v>0.18</v>
      </c>
      <c r="E142" t="s">
        <v>61</v>
      </c>
      <c r="F142" s="47">
        <v>0.21</v>
      </c>
      <c r="K142" t="s">
        <v>327</v>
      </c>
      <c r="L142" s="23">
        <v>0.22</v>
      </c>
    </row>
    <row r="143" spans="1:12" ht="16">
      <c r="A143" s="46" t="str">
        <f>'Ratings worksheet'!A143</f>
        <v>Tanzania</v>
      </c>
      <c r="B143" s="93">
        <f t="shared" si="6"/>
        <v>0.3</v>
      </c>
      <c r="C143">
        <f t="shared" si="5"/>
        <v>0.3</v>
      </c>
      <c r="E143" t="s">
        <v>187</v>
      </c>
      <c r="F143" s="47">
        <v>0.19</v>
      </c>
      <c r="K143" t="s">
        <v>136</v>
      </c>
      <c r="L143" s="23">
        <v>0.32</v>
      </c>
    </row>
    <row r="144" spans="1:12" ht="16">
      <c r="A144" s="46" t="str">
        <f>'Ratings worksheet'!A144</f>
        <v>Thailand</v>
      </c>
      <c r="B144" s="93">
        <f t="shared" si="6"/>
        <v>0.2</v>
      </c>
      <c r="C144">
        <f t="shared" si="5"/>
        <v>0.2</v>
      </c>
      <c r="E144" t="s">
        <v>391</v>
      </c>
      <c r="F144" s="47">
        <v>0.3</v>
      </c>
      <c r="K144" t="s">
        <v>487</v>
      </c>
      <c r="L144" s="23">
        <v>0.25</v>
      </c>
    </row>
    <row r="145" spans="1:12" ht="16">
      <c r="A145" s="46" t="s">
        <v>316</v>
      </c>
      <c r="B145" s="93">
        <f t="shared" si="6"/>
        <v>0.27</v>
      </c>
      <c r="C145">
        <f t="shared" si="5"/>
        <v>0.27</v>
      </c>
      <c r="E145" t="s">
        <v>76</v>
      </c>
      <c r="F145" s="47">
        <v>0.27</v>
      </c>
      <c r="K145" t="s">
        <v>369</v>
      </c>
      <c r="L145" s="23">
        <v>0.25</v>
      </c>
    </row>
    <row r="146" spans="1:12" ht="16">
      <c r="A146" s="46" t="str">
        <f>'Ratings worksheet'!A146</f>
        <v>Trinidad and Tobago</v>
      </c>
      <c r="B146" s="93">
        <f t="shared" si="6"/>
        <v>0.3</v>
      </c>
      <c r="C146">
        <f t="shared" si="5"/>
        <v>0.3</v>
      </c>
      <c r="E146" t="s">
        <v>138</v>
      </c>
      <c r="F146" s="47">
        <v>0.25</v>
      </c>
      <c r="K146" t="s">
        <v>184</v>
      </c>
      <c r="L146" s="23">
        <v>0.25800000000000001</v>
      </c>
    </row>
    <row r="147" spans="1:12" ht="16">
      <c r="A147" s="46" t="str">
        <f>'Ratings worksheet'!A147</f>
        <v>Tunisia</v>
      </c>
      <c r="B147" s="93">
        <f t="shared" si="6"/>
        <v>0.15</v>
      </c>
      <c r="C147">
        <f t="shared" si="5"/>
        <v>0.15</v>
      </c>
      <c r="E147" t="s">
        <v>134</v>
      </c>
      <c r="F147" s="47">
        <v>0.24</v>
      </c>
      <c r="K147" t="s">
        <v>490</v>
      </c>
      <c r="L147" s="23">
        <v>0.3</v>
      </c>
    </row>
    <row r="148" spans="1:12" ht="16">
      <c r="A148" s="46" t="str">
        <f>'Ratings worksheet'!A148</f>
        <v>Turkey</v>
      </c>
      <c r="B148" s="93">
        <f t="shared" si="6"/>
        <v>0.25</v>
      </c>
      <c r="C148">
        <f t="shared" si="5"/>
        <v>0.25</v>
      </c>
      <c r="E148" t="s">
        <v>413</v>
      </c>
      <c r="F148" s="47">
        <v>0.35</v>
      </c>
      <c r="K148" t="s">
        <v>21</v>
      </c>
      <c r="L148" s="23">
        <v>0.28000000000000003</v>
      </c>
    </row>
    <row r="149" spans="1:12" ht="16">
      <c r="A149" s="46" t="str">
        <f>'Ratings worksheet'!A149</f>
        <v>Turks and Caicos Islands</v>
      </c>
      <c r="B149" s="93">
        <f t="shared" si="6"/>
        <v>0</v>
      </c>
      <c r="C149">
        <f t="shared" si="5"/>
        <v>0</v>
      </c>
      <c r="E149" t="s">
        <v>311</v>
      </c>
      <c r="F149" s="47">
        <v>0.35</v>
      </c>
      <c r="K149" t="s">
        <v>22</v>
      </c>
      <c r="L149" s="23">
        <v>0.3</v>
      </c>
    </row>
    <row r="150" spans="1:12" ht="16">
      <c r="A150" s="46" t="str">
        <f>'Ratings worksheet'!A150</f>
        <v>Uganda</v>
      </c>
      <c r="B150" s="93">
        <f t="shared" si="6"/>
        <v>0.3</v>
      </c>
      <c r="C150">
        <f t="shared" si="5"/>
        <v>0.3</v>
      </c>
      <c r="E150" t="s">
        <v>33</v>
      </c>
      <c r="F150" s="47">
        <v>0.36</v>
      </c>
      <c r="K150" t="s">
        <v>313</v>
      </c>
      <c r="L150" s="23">
        <v>0.3</v>
      </c>
    </row>
    <row r="151" spans="1:12" ht="16">
      <c r="A151" s="46" t="str">
        <f>'Ratings worksheet'!A151</f>
        <v>Ukraine</v>
      </c>
      <c r="B151" s="93">
        <f t="shared" si="6"/>
        <v>0.18</v>
      </c>
      <c r="C151">
        <f t="shared" si="5"/>
        <v>0.18</v>
      </c>
      <c r="E151" t="s">
        <v>378</v>
      </c>
      <c r="F151" s="47">
        <v>0.27500000000000002</v>
      </c>
      <c r="K151" t="s">
        <v>185</v>
      </c>
      <c r="L151" s="23">
        <v>0.3</v>
      </c>
    </row>
    <row r="152" spans="1:12" ht="16">
      <c r="A152" s="46" t="str">
        <f>'Ratings worksheet'!A152</f>
        <v>United Arab Emirates</v>
      </c>
      <c r="B152" s="93">
        <f t="shared" si="6"/>
        <v>0.09</v>
      </c>
      <c r="C152">
        <f t="shared" si="5"/>
        <v>0.09</v>
      </c>
      <c r="E152" t="s">
        <v>34</v>
      </c>
      <c r="F152" s="47">
        <v>0.20600000000000002</v>
      </c>
      <c r="K152" t="s">
        <v>623</v>
      </c>
      <c r="L152" s="23">
        <v>0.3</v>
      </c>
    </row>
    <row r="153" spans="1:12" ht="16">
      <c r="A153" s="46" t="str">
        <f>'Ratings worksheet'!A153</f>
        <v>United Kingdom</v>
      </c>
      <c r="B153" s="93">
        <f t="shared" si="6"/>
        <v>0.25</v>
      </c>
      <c r="C153">
        <f t="shared" si="5"/>
        <v>0.25</v>
      </c>
      <c r="E153" t="s">
        <v>35</v>
      </c>
      <c r="F153" s="47">
        <v>0.14599999999999999</v>
      </c>
      <c r="K153" t="s">
        <v>428</v>
      </c>
      <c r="L153" s="23">
        <v>0.21</v>
      </c>
    </row>
    <row r="154" spans="1:12" ht="16">
      <c r="A154" s="46" t="str">
        <f>'Ratings worksheet'!A154</f>
        <v>United States</v>
      </c>
      <c r="B154" s="93">
        <f t="shared" si="6"/>
        <v>0.25</v>
      </c>
      <c r="C154">
        <v>0.25</v>
      </c>
      <c r="E154" t="s">
        <v>308</v>
      </c>
      <c r="F154" s="47">
        <v>0.28000000000000003</v>
      </c>
      <c r="K154" t="s">
        <v>23</v>
      </c>
      <c r="L154" s="23">
        <v>0.22</v>
      </c>
    </row>
    <row r="155" spans="1:12" ht="16">
      <c r="A155" s="46" t="str">
        <f>'Ratings worksheet'!A155</f>
        <v>Uruguay</v>
      </c>
      <c r="B155" s="93">
        <f t="shared" si="6"/>
        <v>0.25</v>
      </c>
      <c r="C155">
        <f t="shared" si="5"/>
        <v>0.25</v>
      </c>
      <c r="E155" t="s">
        <v>64</v>
      </c>
      <c r="F155" s="47">
        <v>0.2</v>
      </c>
      <c r="K155" t="s">
        <v>24</v>
      </c>
      <c r="L155" s="23">
        <v>0.15</v>
      </c>
    </row>
    <row r="156" spans="1:12" ht="16">
      <c r="A156" s="134" t="s">
        <v>367</v>
      </c>
      <c r="B156" s="93">
        <f t="shared" si="6"/>
        <v>0.15</v>
      </c>
      <c r="C156">
        <f t="shared" si="5"/>
        <v>0.15</v>
      </c>
      <c r="E156" s="136" t="s">
        <v>375</v>
      </c>
      <c r="F156" s="47">
        <v>0.18</v>
      </c>
      <c r="K156" t="s">
        <v>25</v>
      </c>
      <c r="L156" s="23">
        <v>0.28999999999999998</v>
      </c>
    </row>
    <row r="157" spans="1:12" ht="16">
      <c r="A157" s="46" t="str">
        <f>'Ratings worksheet'!A157</f>
        <v>Venezuela</v>
      </c>
      <c r="B157" s="93">
        <f t="shared" si="6"/>
        <v>0.34</v>
      </c>
      <c r="C157">
        <f t="shared" si="5"/>
        <v>0.34</v>
      </c>
      <c r="E157" t="s">
        <v>324</v>
      </c>
      <c r="F157" s="47">
        <v>0.3</v>
      </c>
      <c r="K157" t="s">
        <v>629</v>
      </c>
      <c r="L157" s="23">
        <v>0.15</v>
      </c>
    </row>
    <row r="158" spans="1:12" ht="16">
      <c r="A158" s="46" t="s">
        <v>71</v>
      </c>
      <c r="B158" s="93">
        <f t="shared" si="6"/>
        <v>0.2</v>
      </c>
      <c r="C158">
        <f t="shared" si="5"/>
        <v>0.2</v>
      </c>
      <c r="E158" t="s">
        <v>65</v>
      </c>
      <c r="F158" s="47">
        <v>0.2</v>
      </c>
      <c r="K158" t="s">
        <v>26</v>
      </c>
      <c r="L158" s="23">
        <v>0.25</v>
      </c>
    </row>
    <row r="159" spans="1:12">
      <c r="A159" s="15" t="s">
        <v>189</v>
      </c>
      <c r="B159" s="93">
        <f t="shared" si="6"/>
        <v>0.3</v>
      </c>
      <c r="C159">
        <f t="shared" si="5"/>
        <v>0.3</v>
      </c>
      <c r="E159" t="s">
        <v>11</v>
      </c>
      <c r="F159" s="47">
        <v>0.3</v>
      </c>
      <c r="K159" t="s">
        <v>9</v>
      </c>
      <c r="L159" s="23">
        <v>0.3</v>
      </c>
    </row>
    <row r="160" spans="1:12">
      <c r="E160" t="s">
        <v>77</v>
      </c>
      <c r="F160" s="47">
        <v>0.15</v>
      </c>
      <c r="K160" t="s">
        <v>27</v>
      </c>
      <c r="L160" s="23">
        <v>0.1</v>
      </c>
    </row>
    <row r="161" spans="5:12">
      <c r="E161" t="s">
        <v>66</v>
      </c>
      <c r="F161" s="47">
        <v>0.25</v>
      </c>
      <c r="K161" t="s">
        <v>28</v>
      </c>
      <c r="L161" s="23">
        <v>0.29499999999999998</v>
      </c>
    </row>
    <row r="162" spans="5:12">
      <c r="E162" t="s">
        <v>67</v>
      </c>
      <c r="F162" s="47">
        <v>0.2</v>
      </c>
      <c r="K162" t="s">
        <v>29</v>
      </c>
      <c r="L162" s="23">
        <v>0.25</v>
      </c>
    </row>
    <row r="163" spans="5:12">
      <c r="E163" t="s">
        <v>287</v>
      </c>
      <c r="F163" s="47">
        <v>0</v>
      </c>
      <c r="K163" t="s">
        <v>30</v>
      </c>
      <c r="L163" s="23">
        <v>0.19</v>
      </c>
    </row>
    <row r="164" spans="5:12">
      <c r="E164" t="s">
        <v>225</v>
      </c>
      <c r="F164" s="47">
        <v>0.3</v>
      </c>
      <c r="K164" t="s">
        <v>186</v>
      </c>
      <c r="L164" s="23">
        <v>0.315</v>
      </c>
    </row>
    <row r="165" spans="5:12">
      <c r="E165" t="s">
        <v>68</v>
      </c>
      <c r="F165" s="47">
        <v>0.18</v>
      </c>
      <c r="K165" t="s">
        <v>366</v>
      </c>
      <c r="L165" s="23">
        <v>0.375</v>
      </c>
    </row>
    <row r="166" spans="5:12">
      <c r="E166" t="s">
        <v>60</v>
      </c>
      <c r="F166" s="47">
        <v>0.25</v>
      </c>
      <c r="K166" t="s">
        <v>74</v>
      </c>
      <c r="L166" s="23">
        <v>0.1</v>
      </c>
    </row>
    <row r="167" spans="5:12">
      <c r="E167" t="s">
        <v>57</v>
      </c>
      <c r="F167" s="47">
        <v>0.25</v>
      </c>
      <c r="K167" t="s">
        <v>0</v>
      </c>
      <c r="L167" s="23">
        <v>0.16</v>
      </c>
    </row>
    <row r="168" spans="5:12">
      <c r="E168" t="s">
        <v>345</v>
      </c>
      <c r="F168" s="47">
        <v>0.25</v>
      </c>
      <c r="K168" t="s">
        <v>1</v>
      </c>
      <c r="L168" s="23">
        <v>0.2</v>
      </c>
    </row>
    <row r="169" spans="5:12">
      <c r="E169" t="s">
        <v>69</v>
      </c>
      <c r="F169" s="47">
        <v>0.25</v>
      </c>
      <c r="K169" t="s">
        <v>224</v>
      </c>
      <c r="L169" s="23">
        <v>0.28000000000000003</v>
      </c>
    </row>
    <row r="170" spans="5:12">
      <c r="E170" t="s">
        <v>367</v>
      </c>
      <c r="F170" s="47">
        <v>0.15</v>
      </c>
      <c r="K170" t="s">
        <v>618</v>
      </c>
      <c r="L170" s="23">
        <v>0</v>
      </c>
    </row>
    <row r="171" spans="5:12">
      <c r="E171" t="s">
        <v>396</v>
      </c>
      <c r="F171" s="47">
        <v>0</v>
      </c>
      <c r="K171" t="s">
        <v>624</v>
      </c>
      <c r="L171" s="23">
        <v>0.25</v>
      </c>
    </row>
    <row r="172" spans="5:12">
      <c r="E172" t="s">
        <v>70</v>
      </c>
      <c r="F172" s="47">
        <v>0.34</v>
      </c>
      <c r="K172" t="s">
        <v>439</v>
      </c>
      <c r="L172" s="23">
        <v>0.33</v>
      </c>
    </row>
    <row r="173" spans="5:12">
      <c r="E173" t="s">
        <v>71</v>
      </c>
      <c r="F173" s="47">
        <v>0.2</v>
      </c>
      <c r="K173" t="s">
        <v>440</v>
      </c>
      <c r="L173" s="23">
        <v>0.3</v>
      </c>
    </row>
    <row r="174" spans="5:12">
      <c r="E174" t="s">
        <v>414</v>
      </c>
      <c r="F174" s="47">
        <v>0.2</v>
      </c>
      <c r="K174" t="s">
        <v>622</v>
      </c>
      <c r="L174" s="23">
        <v>0.2</v>
      </c>
    </row>
    <row r="175" spans="5:12">
      <c r="E175" t="s">
        <v>189</v>
      </c>
      <c r="F175" s="47">
        <v>0.35</v>
      </c>
      <c r="K175" t="s">
        <v>441</v>
      </c>
      <c r="L175" s="23">
        <v>0.28000000000000003</v>
      </c>
    </row>
    <row r="176" spans="5:12">
      <c r="E176" t="s">
        <v>312</v>
      </c>
      <c r="F176" s="47">
        <v>0.2472</v>
      </c>
      <c r="K176" t="s">
        <v>395</v>
      </c>
      <c r="L176" s="23">
        <v>0.27</v>
      </c>
    </row>
    <row r="177" spans="11:12">
      <c r="K177" t="s">
        <v>429</v>
      </c>
      <c r="L177" s="23">
        <v>0.17</v>
      </c>
    </row>
    <row r="178" spans="11:12">
      <c r="K178" t="s">
        <v>509</v>
      </c>
      <c r="L178" s="23">
        <v>0.25</v>
      </c>
    </row>
    <row r="179" spans="11:12">
      <c r="K179" t="s">
        <v>2</v>
      </c>
      <c r="L179" s="23">
        <v>0.2</v>
      </c>
    </row>
    <row r="180" spans="11:12">
      <c r="K180" t="s">
        <v>135</v>
      </c>
      <c r="L180" s="23">
        <v>0.3</v>
      </c>
    </row>
    <row r="181" spans="11:12">
      <c r="K181" t="s">
        <v>146</v>
      </c>
      <c r="L181" s="23">
        <v>0.15</v>
      </c>
    </row>
    <row r="182" spans="11:12">
      <c r="K182" t="s">
        <v>388</v>
      </c>
      <c r="L182" s="23">
        <v>0.25</v>
      </c>
    </row>
    <row r="183" spans="11:12">
      <c r="K183" t="s">
        <v>321</v>
      </c>
      <c r="L183" s="23">
        <v>0.25</v>
      </c>
    </row>
    <row r="184" spans="11:12">
      <c r="K184" t="s">
        <v>3</v>
      </c>
      <c r="L184" s="23">
        <v>0.17</v>
      </c>
    </row>
    <row r="185" spans="11:12">
      <c r="K185" t="s">
        <v>432</v>
      </c>
      <c r="L185" s="23">
        <v>0.34499999999999997</v>
      </c>
    </row>
    <row r="186" spans="11:12">
      <c r="K186" t="s">
        <v>61</v>
      </c>
      <c r="L186" s="23">
        <v>0.21</v>
      </c>
    </row>
    <row r="187" spans="11:12">
      <c r="K187" t="s">
        <v>187</v>
      </c>
      <c r="L187" s="23">
        <v>0.22</v>
      </c>
    </row>
    <row r="188" spans="11:12">
      <c r="K188" t="s">
        <v>391</v>
      </c>
      <c r="L188" s="23">
        <v>0.3</v>
      </c>
    </row>
    <row r="189" spans="11:12">
      <c r="K189" t="s">
        <v>76</v>
      </c>
      <c r="L189" s="23">
        <v>0.27</v>
      </c>
    </row>
    <row r="190" spans="11:12">
      <c r="K190" t="s">
        <v>508</v>
      </c>
      <c r="L190" s="23">
        <v>0.3</v>
      </c>
    </row>
    <row r="191" spans="11:12">
      <c r="K191" t="s">
        <v>138</v>
      </c>
      <c r="L191" s="23">
        <v>0.25</v>
      </c>
    </row>
    <row r="192" spans="11:12">
      <c r="K192" t="s">
        <v>134</v>
      </c>
      <c r="L192" s="23">
        <v>0.3</v>
      </c>
    </row>
    <row r="193" spans="11:12">
      <c r="K193" t="s">
        <v>311</v>
      </c>
      <c r="L193" s="23">
        <v>0.35</v>
      </c>
    </row>
    <row r="194" spans="11:12">
      <c r="K194" t="s">
        <v>33</v>
      </c>
      <c r="L194" s="23">
        <v>0.36</v>
      </c>
    </row>
    <row r="195" spans="11:12">
      <c r="K195" t="s">
        <v>378</v>
      </c>
      <c r="L195" s="23">
        <v>0.25</v>
      </c>
    </row>
    <row r="196" spans="11:12">
      <c r="K196" t="s">
        <v>34</v>
      </c>
      <c r="L196" s="23">
        <v>0.20600000000000002</v>
      </c>
    </row>
    <row r="197" spans="11:12">
      <c r="K197" t="s">
        <v>35</v>
      </c>
      <c r="L197" s="23">
        <v>0.1961</v>
      </c>
    </row>
    <row r="198" spans="11:12">
      <c r="K198" t="s">
        <v>510</v>
      </c>
      <c r="L198" s="23">
        <v>0.25</v>
      </c>
    </row>
    <row r="199" spans="11:12">
      <c r="K199" t="s">
        <v>64</v>
      </c>
      <c r="L199" s="23">
        <v>0.2</v>
      </c>
    </row>
    <row r="200" spans="11:12">
      <c r="K200" t="s">
        <v>375</v>
      </c>
      <c r="L200" s="23">
        <v>0.18</v>
      </c>
    </row>
    <row r="201" spans="11:12">
      <c r="K201" t="s">
        <v>324</v>
      </c>
      <c r="L201" s="23">
        <v>0.3</v>
      </c>
    </row>
    <row r="202" spans="11:12">
      <c r="K202" t="s">
        <v>65</v>
      </c>
      <c r="L202" s="23">
        <v>0.2</v>
      </c>
    </row>
    <row r="203" spans="11:12">
      <c r="K203" t="s">
        <v>387</v>
      </c>
      <c r="L203" s="23">
        <v>0.1</v>
      </c>
    </row>
    <row r="204" spans="11:12">
      <c r="K204" t="s">
        <v>316</v>
      </c>
      <c r="L204" s="23">
        <v>0.27</v>
      </c>
    </row>
    <row r="205" spans="11:12">
      <c r="K205" t="s">
        <v>625</v>
      </c>
      <c r="L205" s="23">
        <v>0</v>
      </c>
    </row>
    <row r="206" spans="11:12">
      <c r="K206" t="s">
        <v>400</v>
      </c>
      <c r="L206" s="23">
        <v>0.25</v>
      </c>
    </row>
    <row r="207" spans="11:12">
      <c r="K207" t="s">
        <v>11</v>
      </c>
      <c r="L207" s="23">
        <v>0.3</v>
      </c>
    </row>
    <row r="208" spans="11:12">
      <c r="K208" t="s">
        <v>77</v>
      </c>
      <c r="L208" s="23">
        <v>0.15</v>
      </c>
    </row>
    <row r="209" spans="11:12">
      <c r="K209" t="s">
        <v>66</v>
      </c>
      <c r="L209" s="23">
        <v>0.25</v>
      </c>
    </row>
    <row r="210" spans="11:12">
      <c r="K210" t="s">
        <v>67</v>
      </c>
      <c r="L210" s="23">
        <v>0.08</v>
      </c>
    </row>
    <row r="211" spans="11:12">
      <c r="K211" t="s">
        <v>287</v>
      </c>
      <c r="L211" s="23">
        <v>0</v>
      </c>
    </row>
    <row r="212" spans="11:12">
      <c r="K212" t="s">
        <v>225</v>
      </c>
      <c r="L212" s="23">
        <v>0.3</v>
      </c>
    </row>
    <row r="213" spans="11:12">
      <c r="K213" t="s">
        <v>68</v>
      </c>
      <c r="L213" s="23">
        <v>0.18</v>
      </c>
    </row>
    <row r="214" spans="11:12">
      <c r="K214" t="s">
        <v>60</v>
      </c>
      <c r="L214" s="23">
        <v>0.09</v>
      </c>
    </row>
    <row r="215" spans="11:12">
      <c r="K215" t="s">
        <v>57</v>
      </c>
      <c r="L215" s="23">
        <v>0.25</v>
      </c>
    </row>
    <row r="216" spans="11:12">
      <c r="K216" t="s">
        <v>345</v>
      </c>
      <c r="L216" s="23">
        <v>0.25629999999999997</v>
      </c>
    </row>
    <row r="217" spans="11:12">
      <c r="K217" t="s">
        <v>626</v>
      </c>
      <c r="L217" s="23">
        <v>0.23100000000000001</v>
      </c>
    </row>
    <row r="218" spans="11:12">
      <c r="K218" t="s">
        <v>69</v>
      </c>
      <c r="L218" s="23">
        <v>0.25</v>
      </c>
    </row>
    <row r="219" spans="11:12">
      <c r="K219" t="s">
        <v>367</v>
      </c>
      <c r="L219" s="23">
        <v>0.15</v>
      </c>
    </row>
    <row r="220" spans="11:12">
      <c r="K220" t="s">
        <v>396</v>
      </c>
      <c r="L220" s="23">
        <v>0</v>
      </c>
    </row>
    <row r="221" spans="11:12">
      <c r="K221" t="s">
        <v>70</v>
      </c>
      <c r="L221" s="23">
        <v>0.34</v>
      </c>
    </row>
    <row r="222" spans="11:12">
      <c r="K222" t="s">
        <v>71</v>
      </c>
      <c r="L222" s="23">
        <v>0.2</v>
      </c>
    </row>
    <row r="223" spans="11:12">
      <c r="K223" t="s">
        <v>627</v>
      </c>
      <c r="L223" s="23">
        <v>0</v>
      </c>
    </row>
    <row r="224" spans="11:12">
      <c r="K224" t="s">
        <v>414</v>
      </c>
      <c r="L224" s="23">
        <v>0.2</v>
      </c>
    </row>
    <row r="225" spans="11:12">
      <c r="K225" t="s">
        <v>189</v>
      </c>
      <c r="L225" s="23">
        <v>0.3</v>
      </c>
    </row>
    <row r="226" spans="11:12">
      <c r="K226" t="s">
        <v>312</v>
      </c>
      <c r="L226" s="23">
        <v>0.24719999999999998</v>
      </c>
    </row>
  </sheetData>
  <sortState xmlns:xlrd2="http://schemas.microsoft.com/office/spreadsheetml/2017/richdata2" ref="K2:L228">
    <sortCondition ref="K2:K228"/>
  </sortState>
  <pageMargins left="0.75" right="0.75" top="1" bottom="1" header="0.3" footer="0.3"/>
  <pageSetup orientation="portrait" horizontalDpi="0" verticalDpi="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84"/>
  <sheetViews>
    <sheetView workbookViewId="0">
      <selection activeCell="K5" sqref="K5"/>
    </sheetView>
  </sheetViews>
  <sheetFormatPr baseColWidth="10" defaultRowHeight="16"/>
  <cols>
    <col min="1" max="1" width="26.83203125" style="85" bestFit="1" customWidth="1"/>
    <col min="2" max="2" width="14.33203125" style="128" customWidth="1"/>
    <col min="3" max="3" width="22.1640625" style="193" customWidth="1"/>
    <col min="4" max="4" width="22.1640625" style="20" customWidth="1"/>
    <col min="5" max="6" width="20.83203125" style="25" customWidth="1"/>
    <col min="7" max="7" width="20.83203125" style="48" customWidth="1"/>
    <col min="10" max="10" width="18.5" customWidth="1"/>
    <col min="22" max="22" width="22.6640625" customWidth="1"/>
  </cols>
  <sheetData>
    <row r="1" spans="1:15" s="2" customFormat="1" ht="16" customHeight="1">
      <c r="A1" s="96" t="s">
        <v>75</v>
      </c>
      <c r="B1" s="125" t="s">
        <v>338</v>
      </c>
      <c r="C1" s="214" t="s">
        <v>140</v>
      </c>
      <c r="D1" s="96" t="s">
        <v>139</v>
      </c>
      <c r="E1" s="137" t="s">
        <v>339</v>
      </c>
      <c r="F1" s="137" t="s">
        <v>346</v>
      </c>
      <c r="G1" s="137" t="s">
        <v>364</v>
      </c>
      <c r="H1" s="138"/>
      <c r="I1" s="257" t="s">
        <v>338</v>
      </c>
      <c r="J1" s="257"/>
      <c r="K1" s="194"/>
      <c r="N1" s="222" t="s">
        <v>75</v>
      </c>
      <c r="O1" s="223" t="s">
        <v>646</v>
      </c>
    </row>
    <row r="2" spans="1:15">
      <c r="A2" s="46" t="str">
        <f>'ERPs by country'!A9</f>
        <v>Abu Dhabi</v>
      </c>
      <c r="B2" s="126" t="e">
        <f>VLOOKUP(A2,$N$2:$O$142,2,FALSE)</f>
        <v>#N/A</v>
      </c>
      <c r="C2" s="24">
        <f>VLOOKUP(A2,Table1[[Country]:[Country Risk Premium]],5)</f>
        <v>5.4907702180474256E-2</v>
      </c>
      <c r="D2" s="24">
        <f>VLOOKUP(A2,Table1[[Country]:[Country Risk Premium]],4)</f>
        <v>4.6974675459158736E-3</v>
      </c>
      <c r="E2" s="24">
        <f>C2</f>
        <v>5.4907702180474256E-2</v>
      </c>
      <c r="F2" s="57">
        <f>VLOOKUP(A2,'Country Tax Rates'!$A$2:$B$159,2)</f>
        <v>0.09</v>
      </c>
      <c r="G2" s="57">
        <f>VLOOKUP(A2,Table1[[Country]:[Country Risk Premium]],6)</f>
        <v>7.2077021804742543E-3</v>
      </c>
      <c r="I2" s="15" t="s">
        <v>336</v>
      </c>
      <c r="J2" s="15" t="s">
        <v>337</v>
      </c>
      <c r="K2" s="15" t="s">
        <v>304</v>
      </c>
      <c r="L2" s="15" t="s">
        <v>305</v>
      </c>
      <c r="M2" s="15" t="s">
        <v>39</v>
      </c>
      <c r="N2" s="156" t="s">
        <v>4</v>
      </c>
      <c r="O2" s="75">
        <v>74</v>
      </c>
    </row>
    <row r="3" spans="1:15" ht="16" customHeight="1">
      <c r="A3" s="46" t="str">
        <f>'ERPs by country'!A10</f>
        <v>Albania</v>
      </c>
      <c r="B3" s="126">
        <f>VLOOKUP(A3,$N$2:$O$142,2,FALSE)</f>
        <v>74</v>
      </c>
      <c r="C3" s="24">
        <f>VLOOKUP(A3,Table1[[Country]:[Country Risk Premium]],5)</f>
        <v>0.1002132587434553</v>
      </c>
      <c r="D3" s="24">
        <f>VLOOKUP(A3,Table1[[Country]:[Country Risk Premium]],4)</f>
        <v>3.4224406405958516E-2</v>
      </c>
      <c r="E3" s="24">
        <f t="shared" ref="E3:E66" si="0">C3</f>
        <v>0.1002132587434553</v>
      </c>
      <c r="F3" s="57">
        <f>VLOOKUP(A3,'Country Tax Rates'!$A$2:$B$159,2)</f>
        <v>0.15</v>
      </c>
      <c r="G3" s="57">
        <f>VLOOKUP(A3,Table1[[Country]:[Country Risk Premium]],6)</f>
        <v>5.2513258743455297E-2</v>
      </c>
      <c r="H3" s="75"/>
      <c r="I3" s="15">
        <v>0</v>
      </c>
      <c r="J3" s="97">
        <v>50</v>
      </c>
      <c r="K3" s="93">
        <f>$K$18+L3*'Relative Equity Volatility'!$D$7</f>
        <v>0.31621657180253437</v>
      </c>
      <c r="L3" s="93">
        <f>J41</f>
        <v>0.17499999999999999</v>
      </c>
      <c r="M3" s="15" t="s">
        <v>424</v>
      </c>
      <c r="N3" s="156" t="s">
        <v>329</v>
      </c>
      <c r="O3" s="75">
        <v>67</v>
      </c>
    </row>
    <row r="4" spans="1:15">
      <c r="A4" s="46" t="str">
        <f>'ERPs by country'!A11</f>
        <v>Andorra (Principality of)</v>
      </c>
      <c r="B4" s="126" t="e">
        <f t="shared" ref="B4:B67" si="1">VLOOKUP(A4,$N$2:$O$142,2,FALSE)</f>
        <v>#N/A</v>
      </c>
      <c r="C4" s="24">
        <f>VLOOKUP(A4,Table1[[Country]:[Country Risk Premium]],5)</f>
        <v>7.1039226108202347E-2</v>
      </c>
      <c r="D4" s="24">
        <f>VLOOKUP(A4,Table1[[Country]:[Country Risk Premium]],4)</f>
        <v>1.5210847291537115E-2</v>
      </c>
      <c r="E4" s="24">
        <f t="shared" si="0"/>
        <v>7.1039226108202347E-2</v>
      </c>
      <c r="F4" s="57">
        <f>VLOOKUP(A4,'Country Tax Rates'!$A$2:$B$159,2)</f>
        <v>0.1</v>
      </c>
      <c r="G4" s="57">
        <f>VLOOKUP(A4,Table1[[Country]:[Country Risk Premium]],6)</f>
        <v>2.3339226108202347E-2</v>
      </c>
      <c r="H4" s="75"/>
      <c r="I4" s="97">
        <v>50.000999999999998</v>
      </c>
      <c r="J4" s="97">
        <v>55</v>
      </c>
      <c r="K4" s="93">
        <f>$K$18+L4*'Relative Equity Volatility'!$D$7</f>
        <v>0.22291580776819558</v>
      </c>
      <c r="L4" s="93">
        <f>J40</f>
        <v>0.11419319915190733</v>
      </c>
      <c r="M4" s="195" t="s">
        <v>423</v>
      </c>
      <c r="N4" s="156" t="s">
        <v>131</v>
      </c>
      <c r="O4" s="75">
        <v>63.5</v>
      </c>
    </row>
    <row r="5" spans="1:15">
      <c r="A5" s="46" t="str">
        <f>'ERPs by country'!A12</f>
        <v>Angola</v>
      </c>
      <c r="B5" s="126">
        <f t="shared" si="1"/>
        <v>63.5</v>
      </c>
      <c r="C5" s="24">
        <f>VLOOKUP(A5,Table1[[Country]:[Country Risk Premium]],5)</f>
        <v>0.14260141204291102</v>
      </c>
      <c r="D5" s="24">
        <f>VLOOKUP(A5,Table1[[Country]:[Country Risk Premium]],4)</f>
        <v>6.1849989354559008E-2</v>
      </c>
      <c r="E5" s="24">
        <f t="shared" si="0"/>
        <v>0.14260141204291102</v>
      </c>
      <c r="F5" s="57">
        <f>VLOOKUP(A5,'Country Tax Rates'!$A$2:$B$159,2)</f>
        <v>0.25</v>
      </c>
      <c r="G5" s="57">
        <f>VLOOKUP(A5,Table1[[Country]:[Country Risk Premium]],6)</f>
        <v>9.4901412042911026E-2</v>
      </c>
      <c r="H5" s="75"/>
      <c r="I5" s="97">
        <v>55.000999999999998</v>
      </c>
      <c r="J5" s="97">
        <v>57</v>
      </c>
      <c r="K5" s="93">
        <f>$K$18+L5*'Relative Equity Volatility'!$D$7</f>
        <v>0.19374177513294266</v>
      </c>
      <c r="L5" s="93">
        <f>J39</f>
        <v>9.5179640037485941E-2</v>
      </c>
      <c r="M5" s="15" t="s">
        <v>62</v>
      </c>
      <c r="N5" s="156" t="s">
        <v>84</v>
      </c>
      <c r="O5" s="75">
        <v>69.5</v>
      </c>
    </row>
    <row r="6" spans="1:15">
      <c r="A6" s="46" t="str">
        <f>'ERPs by country'!A13</f>
        <v>Argentina</v>
      </c>
      <c r="B6" s="126">
        <f t="shared" si="1"/>
        <v>69.5</v>
      </c>
      <c r="C6" s="24">
        <f>VLOOKUP(A6,Table1[[Country]:[Country Risk Premium]],5)</f>
        <v>0.15718842836053751</v>
      </c>
      <c r="D6" s="24">
        <f>VLOOKUP(A6,Table1[[Country]:[Country Risk Premium]],4)</f>
        <v>7.1356768911769716E-2</v>
      </c>
      <c r="E6" s="24">
        <f t="shared" si="0"/>
        <v>0.15718842836053751</v>
      </c>
      <c r="F6" s="57">
        <f>VLOOKUP(A6,'Country Tax Rates'!$A$2:$B$159,2)</f>
        <v>0.35</v>
      </c>
      <c r="G6" s="57">
        <f>VLOOKUP(A6,Table1[[Country]:[Country Risk Premium]],6)</f>
        <v>0.10948842836053752</v>
      </c>
      <c r="H6" s="75"/>
      <c r="I6" s="97">
        <v>57.000999999999998</v>
      </c>
      <c r="J6" s="97">
        <v>60</v>
      </c>
      <c r="K6" s="93">
        <f>$K$18+L6*'Relative Equity Volatility'!$D$7</f>
        <v>0.17915475881531617</v>
      </c>
      <c r="L6" s="93">
        <f>J38</f>
        <v>8.5672860480275226E-2</v>
      </c>
      <c r="M6" s="15" t="s">
        <v>58</v>
      </c>
      <c r="N6" s="156" t="s">
        <v>19</v>
      </c>
      <c r="O6" s="75">
        <v>66.25</v>
      </c>
    </row>
    <row r="7" spans="1:15">
      <c r="A7" s="46" t="str">
        <f>'ERPs by country'!A14</f>
        <v>Armenia</v>
      </c>
      <c r="B7" s="126">
        <f t="shared" si="1"/>
        <v>66.25</v>
      </c>
      <c r="C7" s="24">
        <f>VLOOKUP(A7,Table1[[Country]:[Country Risk Premium]],5)</f>
        <v>0.1002132587434553</v>
      </c>
      <c r="D7" s="24">
        <f>VLOOKUP(A7,Table1[[Country]:[Country Risk Premium]],4)</f>
        <v>3.4224406405958516E-2</v>
      </c>
      <c r="E7" s="24">
        <f t="shared" si="0"/>
        <v>0.1002132587434553</v>
      </c>
      <c r="F7" s="57">
        <f>VLOOKUP(A7,'Country Tax Rates'!$A$2:$B$159,2)</f>
        <v>0.18</v>
      </c>
      <c r="G7" s="57">
        <f>VLOOKUP(A7,Table1[[Country]:[Country Risk Premium]],6)</f>
        <v>5.2513258743455297E-2</v>
      </c>
      <c r="H7" s="75"/>
      <c r="I7" s="97">
        <v>60.000999999999998</v>
      </c>
      <c r="J7" s="97">
        <v>62</v>
      </c>
      <c r="K7" s="93">
        <f>$K$18+L7*'Relative Equity Volatility'!$D$7</f>
        <v>0.15718842836053751</v>
      </c>
      <c r="L7" s="93">
        <f>J37</f>
        <v>7.1356768911769716E-2</v>
      </c>
      <c r="M7" s="15" t="s">
        <v>100</v>
      </c>
      <c r="N7" s="156" t="s">
        <v>85</v>
      </c>
      <c r="O7" s="75">
        <v>79.5</v>
      </c>
    </row>
    <row r="8" spans="1:15">
      <c r="A8" s="46" t="str">
        <f>'ERPs by country'!A15</f>
        <v>Aruba</v>
      </c>
      <c r="B8" s="126" t="e">
        <f t="shared" si="1"/>
        <v>#N/A</v>
      </c>
      <c r="C8" s="24">
        <f>VLOOKUP(A8,Table1[[Country]:[Country Risk Premium]],5)</f>
        <v>7.979143589877824E-2</v>
      </c>
      <c r="D8" s="24">
        <f>VLOOKUP(A8,Table1[[Country]:[Country Risk Premium]],4)</f>
        <v>2.091491502586354E-2</v>
      </c>
      <c r="E8" s="24">
        <f t="shared" si="0"/>
        <v>7.979143589877824E-2</v>
      </c>
      <c r="F8" s="57">
        <f>VLOOKUP(A8,'Country Tax Rates'!$A$2:$B$159,2)</f>
        <v>0.22</v>
      </c>
      <c r="G8" s="57">
        <f>VLOOKUP(A8,Table1[[Country]:[Country Risk Premium]],6)</f>
        <v>3.2091435898778241E-2</v>
      </c>
      <c r="H8" s="75"/>
      <c r="I8" s="97">
        <v>62.000999999999998</v>
      </c>
      <c r="J8" s="97">
        <v>64</v>
      </c>
      <c r="K8" s="93">
        <f>$K$18+L8*'Relative Equity Volatility'!$D$7</f>
        <v>0.14260141204291102</v>
      </c>
      <c r="L8" s="93">
        <f>J36</f>
        <v>6.1849989354559008E-2</v>
      </c>
      <c r="M8" s="15" t="s">
        <v>78</v>
      </c>
      <c r="N8" s="156" t="s">
        <v>173</v>
      </c>
      <c r="O8" s="75">
        <v>77.25</v>
      </c>
    </row>
    <row r="9" spans="1:15">
      <c r="A9" s="46" t="str">
        <f>'ERPs by country'!A16</f>
        <v>Australia</v>
      </c>
      <c r="B9" s="126">
        <f t="shared" si="1"/>
        <v>79.5</v>
      </c>
      <c r="C9" s="24">
        <f>VLOOKUP(A9,Table1[[Country]:[Country Risk Premium]],5)</f>
        <v>4.7699999999999999E-2</v>
      </c>
      <c r="D9" s="24">
        <f>VLOOKUP(A9,Table1[[Country]:[Country Risk Premium]],4)</f>
        <v>0</v>
      </c>
      <c r="E9" s="24">
        <f t="shared" si="0"/>
        <v>4.7699999999999999E-2</v>
      </c>
      <c r="F9" s="57">
        <f>VLOOKUP(A9,'Country Tax Rates'!$A$2:$B$159,2)</f>
        <v>0.3</v>
      </c>
      <c r="G9" s="57">
        <f>VLOOKUP(A9,Table1[[Country]:[Country Risk Premium]],6)</f>
        <v>0</v>
      </c>
      <c r="H9" s="75"/>
      <c r="I9" s="97">
        <v>64.001000000000005</v>
      </c>
      <c r="J9" s="97">
        <v>66</v>
      </c>
      <c r="K9" s="93">
        <f>$K$18+L9*'Relative Equity Volatility'!$D$7</f>
        <v>0.12801439572528456</v>
      </c>
      <c r="L9" s="93">
        <f>J35</f>
        <v>5.2343209797348314E-2</v>
      </c>
      <c r="M9" s="15" t="s">
        <v>49</v>
      </c>
      <c r="N9" s="156" t="s">
        <v>20</v>
      </c>
      <c r="O9" s="75">
        <v>74.25</v>
      </c>
    </row>
    <row r="10" spans="1:15">
      <c r="A10" s="46" t="str">
        <f>'ERPs by country'!A17</f>
        <v>Austria</v>
      </c>
      <c r="B10" s="126">
        <f t="shared" si="1"/>
        <v>77.25</v>
      </c>
      <c r="C10" s="24">
        <f>VLOOKUP(A10,Table1[[Country]:[Country Risk Premium]],5)</f>
        <v>5.1709599506545502E-2</v>
      </c>
      <c r="D10" s="24">
        <f>VLOOKUP(A10,Table1[[Country]:[Country Risk Premium]],4)</f>
        <v>2.6131717269259457E-3</v>
      </c>
      <c r="E10" s="24">
        <f t="shared" si="0"/>
        <v>5.1709599506545502E-2</v>
      </c>
      <c r="F10" s="57">
        <f>VLOOKUP(A10,'Country Tax Rates'!$A$2:$B$159,2)</f>
        <v>0.23</v>
      </c>
      <c r="G10" s="57">
        <f>VLOOKUP(A10,Table1[[Country]:[Country Risk Premium]],6)</f>
        <v>4.0095995065455052E-3</v>
      </c>
      <c r="H10" s="75"/>
      <c r="I10" s="97">
        <v>66.001000000000005</v>
      </c>
      <c r="J10" s="97">
        <v>68</v>
      </c>
      <c r="K10" s="93">
        <f>$K$18+L10*'Relative Equity Volatility'!$D$7</f>
        <v>0.1134273794076581</v>
      </c>
      <c r="L10" s="93">
        <f>J34</f>
        <v>4.2836430240137613E-2</v>
      </c>
      <c r="M10" s="15" t="s">
        <v>48</v>
      </c>
      <c r="N10" s="156" t="s">
        <v>86</v>
      </c>
      <c r="O10" s="75">
        <v>77</v>
      </c>
    </row>
    <row r="11" spans="1:15">
      <c r="A11" s="46" t="str">
        <f>'ERPs by country'!A18</f>
        <v>Azerbaijan</v>
      </c>
      <c r="B11" s="126">
        <f t="shared" si="1"/>
        <v>74.25</v>
      </c>
      <c r="C11" s="24">
        <f>VLOOKUP(A11,Table1[[Country]:[Country Risk Premium]],5)</f>
        <v>7.979143589877824E-2</v>
      </c>
      <c r="D11" s="24">
        <f>VLOOKUP(A11,Table1[[Country]:[Country Risk Premium]],4)</f>
        <v>2.091491502586354E-2</v>
      </c>
      <c r="E11" s="24">
        <f t="shared" si="0"/>
        <v>7.979143589877824E-2</v>
      </c>
      <c r="F11" s="57">
        <f>VLOOKUP(A11,'Country Tax Rates'!$A$2:$B$159,2)</f>
        <v>0.2</v>
      </c>
      <c r="G11" s="57">
        <f>VLOOKUP(A11,Table1[[Country]:[Country Risk Premium]],6)</f>
        <v>3.2091435898778241E-2</v>
      </c>
      <c r="H11" s="75"/>
      <c r="I11" s="97">
        <v>68.001000000000005</v>
      </c>
      <c r="J11" s="97">
        <v>69</v>
      </c>
      <c r="K11" s="93">
        <f>$K$18+L11*'Relative Equity Volatility'!$D$7</f>
        <v>0.1002132587434553</v>
      </c>
      <c r="L11" s="93">
        <f>J33</f>
        <v>3.4224406405958516E-2</v>
      </c>
      <c r="M11" s="15" t="s">
        <v>81</v>
      </c>
      <c r="N11" s="156" t="s">
        <v>87</v>
      </c>
      <c r="O11" s="75">
        <v>70.5</v>
      </c>
    </row>
    <row r="12" spans="1:15">
      <c r="A12" s="46" t="str">
        <f>'ERPs by country'!A19</f>
        <v>Bahamas</v>
      </c>
      <c r="B12" s="126">
        <f t="shared" si="1"/>
        <v>77</v>
      </c>
      <c r="C12" s="24">
        <f>VLOOKUP(A12,Table1[[Country]:[Country Risk Premium]],5)</f>
        <v>0.1134273794076581</v>
      </c>
      <c r="D12" s="24">
        <f>VLOOKUP(A12,Table1[[Country]:[Country Risk Premium]],4)</f>
        <v>4.2836430240137613E-2</v>
      </c>
      <c r="E12" s="24">
        <f t="shared" si="0"/>
        <v>0.1134273794076581</v>
      </c>
      <c r="F12" s="57">
        <f>VLOOKUP(A12,'Country Tax Rates'!$A$2:$B$159,2)</f>
        <v>0</v>
      </c>
      <c r="G12" s="57">
        <f>VLOOKUP(A12,Table1[[Country]:[Country Risk Premium]],6)</f>
        <v>6.572737940765809E-2</v>
      </c>
      <c r="H12" s="75"/>
      <c r="I12" s="97">
        <v>69.001000000000005</v>
      </c>
      <c r="J12" s="97">
        <v>72</v>
      </c>
      <c r="K12" s="93">
        <f>$K$18+L12*'Relative Equity Volatility'!$D$7</f>
        <v>9.1632660909557379E-2</v>
      </c>
      <c r="L12" s="93">
        <f>J32</f>
        <v>2.863218313701105E-2</v>
      </c>
      <c r="M12" s="15" t="s">
        <v>80</v>
      </c>
      <c r="N12" s="156" t="s">
        <v>132</v>
      </c>
      <c r="O12" s="75">
        <v>66</v>
      </c>
    </row>
    <row r="13" spans="1:15">
      <c r="A13" s="46" t="str">
        <f>'ERPs by country'!A20</f>
        <v>Bahrain</v>
      </c>
      <c r="B13" s="126">
        <f t="shared" si="1"/>
        <v>70.5</v>
      </c>
      <c r="C13" s="24">
        <f>VLOOKUP(A13,Table1[[Country]:[Country Risk Premium]],5)</f>
        <v>0.12801439572528456</v>
      </c>
      <c r="D13" s="24">
        <f>VLOOKUP(A13,Table1[[Country]:[Country Risk Premium]],4)</f>
        <v>5.2343209797348314E-2</v>
      </c>
      <c r="E13" s="24">
        <f t="shared" si="0"/>
        <v>0.12801439572528456</v>
      </c>
      <c r="F13" s="57">
        <f>VLOOKUP(A13,'Country Tax Rates'!$A$2:$B$159,2)</f>
        <v>0</v>
      </c>
      <c r="G13" s="57">
        <f>VLOOKUP(A13,Table1[[Country]:[Country Risk Premium]],6)</f>
        <v>8.0314395725284565E-2</v>
      </c>
      <c r="H13" s="75"/>
      <c r="I13" s="97">
        <v>72.001000000000005</v>
      </c>
      <c r="J13" s="97">
        <v>74</v>
      </c>
      <c r="K13" s="93">
        <f>$K$18+L13*'Relative Equity Volatility'!$D$7</f>
        <v>7.5501136981829281E-2</v>
      </c>
      <c r="L13" s="93">
        <f>J29</f>
        <v>1.8118803391389805E-2</v>
      </c>
      <c r="M13" s="15" t="s">
        <v>83</v>
      </c>
      <c r="N13" s="156" t="s">
        <v>5</v>
      </c>
      <c r="O13" s="75">
        <v>64.75</v>
      </c>
    </row>
    <row r="14" spans="1:15">
      <c r="A14" s="46" t="str">
        <f>'ERPs by country'!A21</f>
        <v>Bangladesh</v>
      </c>
      <c r="B14" s="126">
        <f t="shared" si="1"/>
        <v>66</v>
      </c>
      <c r="C14" s="24">
        <f>VLOOKUP(A14,Table1[[Country]:[Country Risk Premium]],5)</f>
        <v>0.12801439572528456</v>
      </c>
      <c r="D14" s="24">
        <f>VLOOKUP(A14,Table1[[Country]:[Country Risk Premium]],4)</f>
        <v>5.2343209797348314E-2</v>
      </c>
      <c r="E14" s="24">
        <f t="shared" si="0"/>
        <v>0.12801439572528456</v>
      </c>
      <c r="F14" s="57">
        <f>VLOOKUP(A14,'Country Tax Rates'!$A$2:$B$159,2)</f>
        <v>0.27500000000000002</v>
      </c>
      <c r="G14" s="57">
        <f>VLOOKUP(A14,Table1[[Country]:[Country Risk Premium]],6)</f>
        <v>8.0314395725284565E-2</v>
      </c>
      <c r="H14" s="75"/>
      <c r="I14" s="97">
        <v>74.001000000000005</v>
      </c>
      <c r="J14" s="97">
        <v>76</v>
      </c>
      <c r="K14" s="93">
        <f>$K$18+L14*'Relative Equity Volatility'!$D$7</f>
        <v>7.1039226108202347E-2</v>
      </c>
      <c r="L14" s="93">
        <f>J28</f>
        <v>1.5210847291537115E-2</v>
      </c>
      <c r="M14" s="15" t="s">
        <v>82</v>
      </c>
      <c r="N14" s="156" t="s">
        <v>174</v>
      </c>
      <c r="O14" s="75">
        <v>75.25</v>
      </c>
    </row>
    <row r="15" spans="1:15">
      <c r="A15" s="46" t="str">
        <f>'ERPs by country'!A22</f>
        <v>Barbados</v>
      </c>
      <c r="B15" s="126" t="e">
        <f t="shared" si="1"/>
        <v>#N/A</v>
      </c>
      <c r="C15" s="24">
        <f>VLOOKUP(A15,Table1[[Country]:[Country Risk Premium]],5)</f>
        <v>0.12801439572528456</v>
      </c>
      <c r="D15" s="24">
        <f>VLOOKUP(A15,Table1[[Country]:[Country Risk Premium]],4)</f>
        <v>5.2343209797348314E-2</v>
      </c>
      <c r="E15" s="24">
        <f t="shared" si="0"/>
        <v>0.12801439572528456</v>
      </c>
      <c r="F15" s="57">
        <f>VLOOKUP(A15,'Country Tax Rates'!$A$2:$B$159,2)</f>
        <v>0.09</v>
      </c>
      <c r="G15" s="57">
        <f>VLOOKUP(A15,Table1[[Country]:[Country Risk Premium]],6)</f>
        <v>8.0314395725284565E-2</v>
      </c>
      <c r="H15" s="75"/>
      <c r="I15" s="97">
        <v>76.001000000000005</v>
      </c>
      <c r="J15" s="97">
        <v>80</v>
      </c>
      <c r="K15" s="93">
        <f>$K$18+L15*'Relative Equity Volatility'!$D$7</f>
        <v>6.0056060880813007E-2</v>
      </c>
      <c r="L15" s="93">
        <f>J26</f>
        <v>8.0528015072843552E-3</v>
      </c>
      <c r="M15" s="15" t="s">
        <v>42</v>
      </c>
      <c r="N15" s="156" t="s">
        <v>91</v>
      </c>
      <c r="O15" s="75">
        <v>60.5</v>
      </c>
    </row>
    <row r="16" spans="1:15">
      <c r="A16" s="46" t="str">
        <f>'ERPs by country'!A23</f>
        <v>Belarus</v>
      </c>
      <c r="B16" s="126">
        <f t="shared" si="1"/>
        <v>64.75</v>
      </c>
      <c r="C16" s="24">
        <f>VLOOKUP(A16,Table1[[Country]:[Country Risk Premium]],5)</f>
        <v>0.31621657180253437</v>
      </c>
      <c r="D16" s="24">
        <f>VLOOKUP(A16,Table1[[Country]:[Country Risk Premium]],4)</f>
        <v>0.17499999999999999</v>
      </c>
      <c r="E16" s="24">
        <f t="shared" si="0"/>
        <v>0.31621657180253437</v>
      </c>
      <c r="F16" s="57">
        <f>VLOOKUP(A16,'Country Tax Rates'!$A$2:$B$159,2)</f>
        <v>0.25</v>
      </c>
      <c r="G16" s="57">
        <f>VLOOKUP(A16,Table1[[Country]:[Country Risk Premium]],6)</f>
        <v>0.26851657180253435</v>
      </c>
      <c r="H16" s="75"/>
      <c r="I16" s="97">
        <v>80.001000000000005</v>
      </c>
      <c r="J16" s="97">
        <v>82.5</v>
      </c>
      <c r="K16" s="93">
        <f>$K$18+L16*'Relative Equity Volatility'!$D$7</f>
        <v>5.6452209790575886E-2</v>
      </c>
      <c r="L16" s="93">
        <f>J24</f>
        <v>5.7040677343264193E-3</v>
      </c>
      <c r="M16" s="15" t="s">
        <v>46</v>
      </c>
      <c r="N16" s="156" t="s">
        <v>123</v>
      </c>
      <c r="O16" s="75">
        <v>77.5</v>
      </c>
    </row>
    <row r="17" spans="1:15">
      <c r="A17" s="46" t="str">
        <f>'ERPs by country'!A24</f>
        <v>Belgium</v>
      </c>
      <c r="B17" s="126">
        <f t="shared" si="1"/>
        <v>75.25</v>
      </c>
      <c r="C17" s="24">
        <f>VLOOKUP(A17,Table1[[Country]:[Country Risk Premium]],5)</f>
        <v>5.6452209790575886E-2</v>
      </c>
      <c r="D17" s="24">
        <f>VLOOKUP(A17,Table1[[Country]:[Country Risk Premium]],4)</f>
        <v>5.7040677343264193E-3</v>
      </c>
      <c r="E17" s="24">
        <f t="shared" si="0"/>
        <v>5.6452209790575886E-2</v>
      </c>
      <c r="F17" s="57">
        <f>VLOOKUP(A17,'Country Tax Rates'!$A$2:$B$159,2)</f>
        <v>0.25</v>
      </c>
      <c r="G17" s="57">
        <f>VLOOKUP(A17,Table1[[Country]:[Country Risk Premium]],6)</f>
        <v>8.7522097905758829E-3</v>
      </c>
      <c r="H17" s="75"/>
      <c r="I17" s="97">
        <v>82.501000000000005</v>
      </c>
      <c r="J17" s="97">
        <v>85</v>
      </c>
      <c r="K17" s="93">
        <f>$K$18+L17*'Relative Equity Volatility'!$D$7</f>
        <v>5.1709599506545502E-2</v>
      </c>
      <c r="L17" s="93">
        <f>J22</f>
        <v>2.6131717269259457E-3</v>
      </c>
      <c r="M17" s="15" t="s">
        <v>44</v>
      </c>
      <c r="N17" s="156" t="s">
        <v>92</v>
      </c>
      <c r="O17" s="75">
        <v>69.5</v>
      </c>
    </row>
    <row r="18" spans="1:15">
      <c r="A18" s="46" t="str">
        <f>'ERPs by country'!A25</f>
        <v>Belize</v>
      </c>
      <c r="B18" s="126" t="e">
        <f t="shared" si="1"/>
        <v>#N/A</v>
      </c>
      <c r="C18" s="24">
        <f>VLOOKUP(A18,Table1[[Country]:[Country Risk Premium]],5)</f>
        <v>0.15718842836053751</v>
      </c>
      <c r="D18" s="24">
        <f>VLOOKUP(A18,Table1[[Country]:[Country Risk Premium]],4)</f>
        <v>7.1356768911769716E-2</v>
      </c>
      <c r="E18" s="24">
        <f t="shared" si="0"/>
        <v>0.15718842836053751</v>
      </c>
      <c r="F18" s="57">
        <f>VLOOKUP(A18,'Country Tax Rates'!$A$2:$B$159,2)</f>
        <v>0</v>
      </c>
      <c r="G18" s="57">
        <f>VLOOKUP(A18,Table1[[Country]:[Country Risk Premium]],6)</f>
        <v>0.10948842836053752</v>
      </c>
      <c r="H18" s="75"/>
      <c r="I18" s="97">
        <v>85.001000000000005</v>
      </c>
      <c r="J18" s="97">
        <v>90.000100000000003</v>
      </c>
      <c r="K18" s="93">
        <f>'ERPs by country'!E3</f>
        <v>4.7699999999999999E-2</v>
      </c>
      <c r="L18" s="93">
        <f>J21</f>
        <v>0</v>
      </c>
      <c r="M18" s="15" t="s">
        <v>47</v>
      </c>
      <c r="N18" s="156" t="s">
        <v>330</v>
      </c>
      <c r="O18" s="75">
        <v>80.75</v>
      </c>
    </row>
    <row r="19" spans="1:15">
      <c r="A19" s="46" t="str">
        <f>'ERPs by country'!A26</f>
        <v>Benin</v>
      </c>
      <c r="B19" s="126" t="e">
        <f t="shared" si="1"/>
        <v>#N/A</v>
      </c>
      <c r="C19" s="24">
        <f>VLOOKUP(A19,Table1[[Country]:[Country Risk Premium]],5)</f>
        <v>0.1134273794076581</v>
      </c>
      <c r="D19" s="24">
        <f>VLOOKUP(A19,Table1[[Country]:[Country Risk Premium]],4)</f>
        <v>4.2836430240137613E-2</v>
      </c>
      <c r="E19" s="24">
        <f t="shared" si="0"/>
        <v>0.1134273794076581</v>
      </c>
      <c r="F19" s="57">
        <f>VLOOKUP(A19,'Country Tax Rates'!$A$2:$B$159,2)</f>
        <v>0.3</v>
      </c>
      <c r="G19" s="57">
        <f>VLOOKUP(A19,Table1[[Country]:[Country Risk Premium]],6)</f>
        <v>6.572737940765809E-2</v>
      </c>
      <c r="H19" s="75"/>
      <c r="N19" s="156" t="s">
        <v>94</v>
      </c>
      <c r="O19" s="75">
        <v>71.75</v>
      </c>
    </row>
    <row r="20" spans="1:15">
      <c r="A20" s="46" t="str">
        <f>'ERPs by country'!A27</f>
        <v>Bermuda</v>
      </c>
      <c r="B20" s="126" t="e">
        <f t="shared" si="1"/>
        <v>#N/A</v>
      </c>
      <c r="C20" s="24">
        <f>VLOOKUP(A20,Table1[[Country]:[Country Risk Premium]],5)</f>
        <v>6.0056060880813007E-2</v>
      </c>
      <c r="D20" s="24">
        <f>VLOOKUP(A20,Table1[[Country]:[Country Risk Premium]],4)</f>
        <v>8.0528015072843552E-3</v>
      </c>
      <c r="E20" s="24">
        <f t="shared" si="0"/>
        <v>6.0056060880813007E-2</v>
      </c>
      <c r="F20" s="57">
        <f>VLOOKUP(A20,'Country Tax Rates'!$A$2:$B$159,2)</f>
        <v>0</v>
      </c>
      <c r="G20" s="57">
        <f>VLOOKUP(A20,Table1[[Country]:[Country Risk Premium]],6)</f>
        <v>1.2356060880813008E-2</v>
      </c>
      <c r="H20" s="75"/>
      <c r="I20" s="17" t="s">
        <v>39</v>
      </c>
      <c r="J20" s="15" t="s">
        <v>548</v>
      </c>
      <c r="N20" s="156" t="s">
        <v>208</v>
      </c>
      <c r="O20" s="75">
        <v>60</v>
      </c>
    </row>
    <row r="21" spans="1:15">
      <c r="A21" s="46" t="str">
        <f>'ERPs by country'!A28</f>
        <v>Bolivia</v>
      </c>
      <c r="B21" s="126">
        <f t="shared" si="1"/>
        <v>60.5</v>
      </c>
      <c r="C21" s="24">
        <f>VLOOKUP(A21,Table1[[Country]:[Country Risk Premium]],5)</f>
        <v>0.19374177513294266</v>
      </c>
      <c r="D21" s="24">
        <f>VLOOKUP(A21,Table1[[Country]:[Country Risk Premium]],4)</f>
        <v>9.5179640037485941E-2</v>
      </c>
      <c r="E21" s="24">
        <f t="shared" si="0"/>
        <v>0.19374177513294266</v>
      </c>
      <c r="F21" s="57">
        <f>VLOOKUP(A21,'Country Tax Rates'!$A$2:$B$159,2)</f>
        <v>0.25</v>
      </c>
      <c r="G21" s="57">
        <f>VLOOKUP(A21,Table1[[Country]:[Country Risk Premium]],6)</f>
        <v>0.14604177513294267</v>
      </c>
      <c r="H21" s="75"/>
      <c r="I21" s="4" t="s">
        <v>47</v>
      </c>
      <c r="J21" s="93">
        <f>'Default Spreads for Ratings'!C8/10000</f>
        <v>0</v>
      </c>
      <c r="K21" s="78"/>
      <c r="N21" s="156" t="s">
        <v>209</v>
      </c>
      <c r="O21" s="75">
        <v>61</v>
      </c>
    </row>
    <row r="22" spans="1:15">
      <c r="A22" s="46" t="str">
        <f>'ERPs by country'!A29</f>
        <v>Bosnia and Herzegovina</v>
      </c>
      <c r="B22" s="126" t="e">
        <f t="shared" si="1"/>
        <v>#N/A</v>
      </c>
      <c r="C22" s="24">
        <f>VLOOKUP(A22,Table1[[Country]:[Country Risk Premium]],5)</f>
        <v>0.14260141204291102</v>
      </c>
      <c r="D22" s="24">
        <f>VLOOKUP(A22,Table1[[Country]:[Country Risk Premium]],4)</f>
        <v>6.1849989354559008E-2</v>
      </c>
      <c r="E22" s="24">
        <f t="shared" si="0"/>
        <v>0.14260141204291102</v>
      </c>
      <c r="F22" s="57">
        <f>VLOOKUP(A22,'Country Tax Rates'!$A$2:$B$159,2)</f>
        <v>0.1</v>
      </c>
      <c r="G22" s="57">
        <f>VLOOKUP(A22,Table1[[Country]:[Country Risk Premium]],6)</f>
        <v>9.4901412042911026E-2</v>
      </c>
      <c r="H22" s="75"/>
      <c r="I22" s="4" t="s">
        <v>44</v>
      </c>
      <c r="J22" s="93">
        <f>'Default Spreads for Ratings'!C5/10000</f>
        <v>2.6131717269259457E-3</v>
      </c>
      <c r="K22" s="78"/>
      <c r="N22" s="156" t="s">
        <v>95</v>
      </c>
      <c r="O22" s="75">
        <v>82.5</v>
      </c>
    </row>
    <row r="23" spans="1:15">
      <c r="A23" s="46" t="str">
        <f>'ERPs by country'!A30</f>
        <v>Botswana</v>
      </c>
      <c r="B23" s="126">
        <f t="shared" si="1"/>
        <v>77.5</v>
      </c>
      <c r="C23" s="24">
        <f>VLOOKUP(A23,Table1[[Country]:[Country Risk Premium]],5)</f>
        <v>7.1039226108202347E-2</v>
      </c>
      <c r="D23" s="24">
        <f>VLOOKUP(A23,Table1[[Country]:[Country Risk Premium]],4)</f>
        <v>1.5210847291537115E-2</v>
      </c>
      <c r="E23" s="24">
        <f t="shared" si="0"/>
        <v>7.1039226108202347E-2</v>
      </c>
      <c r="F23" s="57">
        <f>VLOOKUP(A23,'Country Tax Rates'!$A$2:$B$159,2)</f>
        <v>0.22</v>
      </c>
      <c r="G23" s="57">
        <f>VLOOKUP(A23,Table1[[Country]:[Country Risk Premium]],6)</f>
        <v>2.3339226108202347E-2</v>
      </c>
      <c r="H23" s="75"/>
      <c r="I23" s="4" t="s">
        <v>45</v>
      </c>
      <c r="J23" s="93">
        <f>'Default Spreads for Ratings'!C6/10000</f>
        <v>4.6974675459158736E-3</v>
      </c>
      <c r="K23" s="78"/>
      <c r="N23" s="156" t="s">
        <v>96</v>
      </c>
      <c r="O23" s="75">
        <v>76</v>
      </c>
    </row>
    <row r="24" spans="1:15">
      <c r="A24" s="46" t="str">
        <f>'ERPs by country'!A31</f>
        <v>Brazil</v>
      </c>
      <c r="B24" s="126">
        <f t="shared" si="1"/>
        <v>69.5</v>
      </c>
      <c r="C24" s="24">
        <f>VLOOKUP(A24,Table1[[Country]:[Country Risk Premium]],5)</f>
        <v>8.425334677240516E-2</v>
      </c>
      <c r="D24" s="24">
        <f>VLOOKUP(A24,Table1[[Country]:[Country Risk Premium]],4)</f>
        <v>2.3822871125716225E-2</v>
      </c>
      <c r="E24" s="24">
        <f t="shared" si="0"/>
        <v>8.425334677240516E-2</v>
      </c>
      <c r="F24" s="57">
        <f>VLOOKUP(A24,'Country Tax Rates'!$A$2:$B$159,2)</f>
        <v>0.34</v>
      </c>
      <c r="G24" s="57">
        <f>VLOOKUP(A24,Table1[[Country]:[Country Risk Premium]],6)</f>
        <v>3.6553346772405161E-2</v>
      </c>
      <c r="H24" s="75"/>
      <c r="I24" s="4" t="s">
        <v>46</v>
      </c>
      <c r="J24" s="93">
        <f>'Default Spreads for Ratings'!C7/10000</f>
        <v>5.7040677343264193E-3</v>
      </c>
      <c r="K24" s="78"/>
      <c r="N24" s="156" t="s">
        <v>501</v>
      </c>
      <c r="O24" s="75">
        <v>71.25</v>
      </c>
    </row>
    <row r="25" spans="1:15">
      <c r="A25" s="46" t="str">
        <f>'ERPs by country'!A32</f>
        <v>Bulgaria</v>
      </c>
      <c r="B25" s="126">
        <f t="shared" si="1"/>
        <v>71.75</v>
      </c>
      <c r="C25" s="24">
        <f>VLOOKUP(A25,Table1[[Country]:[Country Risk Premium]],5)</f>
        <v>7.1039226108202347E-2</v>
      </c>
      <c r="D25" s="24">
        <f>VLOOKUP(A25,Table1[[Country]:[Country Risk Premium]],4)</f>
        <v>1.5210847291537115E-2</v>
      </c>
      <c r="E25" s="24">
        <f t="shared" si="0"/>
        <v>7.1039226108202347E-2</v>
      </c>
      <c r="F25" s="57">
        <f>VLOOKUP(A25,'Country Tax Rates'!$A$2:$B$159,2)</f>
        <v>0.1</v>
      </c>
      <c r="G25" s="57">
        <f>VLOOKUP(A25,Table1[[Country]:[Country Risk Premium]],6)</f>
        <v>2.3339226108202347E-2</v>
      </c>
      <c r="H25" s="75"/>
      <c r="I25" s="4" t="s">
        <v>41</v>
      </c>
      <c r="J25" s="93">
        <f>'Default Spreads for Ratings'!C2/10000</f>
        <v>6.710667922736965E-3</v>
      </c>
      <c r="K25" s="78"/>
      <c r="N25" s="156" t="s">
        <v>50</v>
      </c>
      <c r="O25" s="75">
        <v>64.5</v>
      </c>
    </row>
    <row r="26" spans="1:15">
      <c r="A26" s="46" t="str">
        <f>'ERPs by country'!A33</f>
        <v>Burkina Faso</v>
      </c>
      <c r="B26" s="126">
        <f t="shared" si="1"/>
        <v>60</v>
      </c>
      <c r="C26" s="24">
        <f>VLOOKUP(A26,Table1[[Country]:[Country Risk Premium]],5)</f>
        <v>0.15718842836053751</v>
      </c>
      <c r="D26" s="24">
        <f>VLOOKUP(A26,Table1[[Country]:[Country Risk Premium]],4)</f>
        <v>7.1356768911769716E-2</v>
      </c>
      <c r="E26" s="24">
        <f t="shared" si="0"/>
        <v>0.15718842836053751</v>
      </c>
      <c r="F26" s="57">
        <f>VLOOKUP(A26,'Country Tax Rates'!$A$2:$B$159,2)</f>
        <v>0.27500000000000002</v>
      </c>
      <c r="G26" s="57">
        <f>VLOOKUP(A26,Table1[[Country]:[Country Risk Premium]],6)</f>
        <v>0.10948842836053752</v>
      </c>
      <c r="H26" s="75"/>
      <c r="I26" s="4" t="s">
        <v>42</v>
      </c>
      <c r="J26" s="93">
        <f>'Default Spreads for Ratings'!C3/10000</f>
        <v>8.0528015072843552E-3</v>
      </c>
      <c r="K26" s="78"/>
      <c r="N26" s="156" t="s">
        <v>536</v>
      </c>
      <c r="O26" s="75">
        <v>56.75</v>
      </c>
    </row>
    <row r="27" spans="1:15">
      <c r="A27" s="46" t="str">
        <f>'ERPs by country'!A34</f>
        <v>Cambodia</v>
      </c>
      <c r="B27" s="126" t="e">
        <f t="shared" si="1"/>
        <v>#N/A</v>
      </c>
      <c r="C27" s="24">
        <f>VLOOKUP(A27,Table1[[Country]:[Country Risk Premium]],5)</f>
        <v>0.12801439572528456</v>
      </c>
      <c r="D27" s="24">
        <f>VLOOKUP(A27,Table1[[Country]:[Country Risk Premium]],4)</f>
        <v>5.2343209797348314E-2</v>
      </c>
      <c r="E27" s="24">
        <f t="shared" si="0"/>
        <v>0.12801439572528456</v>
      </c>
      <c r="F27" s="57">
        <f>VLOOKUP(A27,'Country Tax Rates'!$A$2:$B$159,2)</f>
        <v>0.2</v>
      </c>
      <c r="G27" s="57">
        <f>VLOOKUP(A27,Table1[[Country]:[Country Risk Premium]],6)</f>
        <v>8.0314395725284565E-2</v>
      </c>
      <c r="H27" s="75"/>
      <c r="I27" s="4" t="s">
        <v>43</v>
      </c>
      <c r="J27" s="93">
        <f>'Default Spreads for Ratings'!C4/10000</f>
        <v>1.1408135468652839E-2</v>
      </c>
      <c r="K27" s="78"/>
      <c r="N27" s="156" t="s">
        <v>537</v>
      </c>
      <c r="O27" s="75">
        <v>63</v>
      </c>
    </row>
    <row r="28" spans="1:15">
      <c r="A28" s="46" t="str">
        <f>'ERPs by country'!A35</f>
        <v>Cameroon</v>
      </c>
      <c r="B28" s="126">
        <f t="shared" si="1"/>
        <v>61</v>
      </c>
      <c r="C28" s="24">
        <f>VLOOKUP(A28,Table1[[Country]:[Country Risk Premium]],5)</f>
        <v>0.15718842836053751</v>
      </c>
      <c r="D28" s="24">
        <f>VLOOKUP(A28,Table1[[Country]:[Country Risk Premium]],4)</f>
        <v>7.1356768911769716E-2</v>
      </c>
      <c r="E28" s="24">
        <f t="shared" si="0"/>
        <v>0.15718842836053751</v>
      </c>
      <c r="F28" s="57">
        <f>VLOOKUP(A28,'Country Tax Rates'!$A$2:$B$159,2)</f>
        <v>0.33</v>
      </c>
      <c r="G28" s="57">
        <f>VLOOKUP(A28,Table1[[Country]:[Country Risk Premium]],6)</f>
        <v>0.10948842836053752</v>
      </c>
      <c r="H28" s="75"/>
      <c r="I28" s="4" t="s">
        <v>82</v>
      </c>
      <c r="J28" s="93">
        <f>'Default Spreads for Ratings'!C15/10000</f>
        <v>1.5210847291537115E-2</v>
      </c>
      <c r="K28" s="78"/>
      <c r="N28" s="156" t="s">
        <v>56</v>
      </c>
      <c r="O28" s="75">
        <v>75.5</v>
      </c>
    </row>
    <row r="29" spans="1:15">
      <c r="A29" s="46" t="str">
        <f>'ERPs by country'!A36</f>
        <v>Canada</v>
      </c>
      <c r="B29" s="126">
        <f t="shared" si="1"/>
        <v>82.5</v>
      </c>
      <c r="C29" s="24">
        <f>VLOOKUP(A29,Table1[[Country]:[Country Risk Premium]],5)</f>
        <v>4.7699999999999999E-2</v>
      </c>
      <c r="D29" s="24">
        <f>VLOOKUP(A29,Table1[[Country]:[Country Risk Premium]],4)</f>
        <v>0</v>
      </c>
      <c r="E29" s="24">
        <f t="shared" si="0"/>
        <v>4.7699999999999999E-2</v>
      </c>
      <c r="F29" s="57">
        <f>VLOOKUP(A29,'Country Tax Rates'!$A$2:$B$159,2)</f>
        <v>0.26140000000000002</v>
      </c>
      <c r="G29" s="57">
        <f>VLOOKUP(A29,Table1[[Country]:[Country Risk Premium]],6)</f>
        <v>0</v>
      </c>
      <c r="H29" s="75"/>
      <c r="I29" s="4" t="s">
        <v>83</v>
      </c>
      <c r="J29" s="93">
        <f>'Default Spreads for Ratings'!C16/10000</f>
        <v>1.8118803391389805E-2</v>
      </c>
      <c r="K29" s="78"/>
      <c r="N29" s="156" t="s">
        <v>358</v>
      </c>
      <c r="O29" s="75">
        <v>65</v>
      </c>
    </row>
    <row r="30" spans="1:15">
      <c r="A30" s="46" t="str">
        <f>'ERPs by country'!A37</f>
        <v>Cape Verde</v>
      </c>
      <c r="B30" s="126" t="e">
        <f t="shared" si="1"/>
        <v>#N/A</v>
      </c>
      <c r="C30" s="24">
        <f>VLOOKUP(A30,Table1[[Country]:[Country Risk Premium]],5)</f>
        <v>0.12801439572528456</v>
      </c>
      <c r="D30" s="24">
        <f>VLOOKUP(A30,Table1[[Country]:[Country Risk Premium]],4)</f>
        <v>5.2343209797348314E-2</v>
      </c>
      <c r="E30" s="24">
        <f t="shared" si="0"/>
        <v>0.12801439572528456</v>
      </c>
      <c r="F30" s="57">
        <f>VLOOKUP(A30,'Country Tax Rates'!$A$2:$B$159,2)</f>
        <v>0.26860000000000001</v>
      </c>
      <c r="G30" s="57">
        <f>VLOOKUP(A30,Table1[[Country]:[Country Risk Premium]],6)</f>
        <v>8.0314395725284565E-2</v>
      </c>
      <c r="H30" s="75"/>
      <c r="I30" s="4" t="s">
        <v>124</v>
      </c>
      <c r="J30" s="93">
        <f>'Default Spreads for Ratings'!C17/10000</f>
        <v>2.091491502586354E-2</v>
      </c>
      <c r="K30" s="78"/>
      <c r="N30" s="156" t="s">
        <v>98</v>
      </c>
      <c r="O30" s="75">
        <v>72.75</v>
      </c>
    </row>
    <row r="31" spans="1:15">
      <c r="A31" s="46" t="str">
        <f>'ERPs by country'!A38</f>
        <v>Cayman Islands</v>
      </c>
      <c r="B31" s="126" t="e">
        <f t="shared" si="1"/>
        <v>#N/A</v>
      </c>
      <c r="C31" s="24">
        <f>VLOOKUP(A31,Table1[[Country]:[Country Risk Premium]],5)</f>
        <v>5.6452209790575886E-2</v>
      </c>
      <c r="D31" s="24">
        <f>VLOOKUP(A31,Table1[[Country]:[Country Risk Premium]],4)</f>
        <v>5.7040677343264193E-3</v>
      </c>
      <c r="E31" s="24">
        <f t="shared" si="0"/>
        <v>5.6452209790575886E-2</v>
      </c>
      <c r="F31" s="57">
        <f>VLOOKUP(A31,'Country Tax Rates'!$A$2:$B$159,2)</f>
        <v>0</v>
      </c>
      <c r="G31" s="57">
        <f>VLOOKUP(A31,Table1[[Country]:[Country Risk Premium]],6)</f>
        <v>8.7522097905758829E-3</v>
      </c>
      <c r="H31" s="75"/>
      <c r="I31" s="4" t="s">
        <v>79</v>
      </c>
      <c r="J31" s="93">
        <f>'Default Spreads for Ratings'!C12/10000</f>
        <v>2.3822871125716225E-2</v>
      </c>
      <c r="K31" s="78"/>
      <c r="N31" s="156" t="s">
        <v>99</v>
      </c>
      <c r="O31" s="75">
        <v>56.75</v>
      </c>
    </row>
    <row r="32" spans="1:15">
      <c r="A32" s="46" t="str">
        <f>'ERPs by country'!A39</f>
        <v>Chile</v>
      </c>
      <c r="B32" s="126">
        <f t="shared" si="1"/>
        <v>76</v>
      </c>
      <c r="C32" s="24">
        <f>VLOOKUP(A32,Table1[[Country]:[Country Risk Premium]],5)</f>
        <v>6.0056060880813007E-2</v>
      </c>
      <c r="D32" s="24">
        <f>VLOOKUP(A32,Table1[[Country]:[Country Risk Premium]],4)</f>
        <v>8.0528015072843552E-3</v>
      </c>
      <c r="E32" s="24">
        <f t="shared" si="0"/>
        <v>6.0056060880813007E-2</v>
      </c>
      <c r="F32" s="57">
        <f>VLOOKUP(A32,'Country Tax Rates'!$A$2:$B$159,2)</f>
        <v>0.27</v>
      </c>
      <c r="G32" s="57">
        <f>VLOOKUP(A32,Table1[[Country]:[Country Risk Premium]],6)</f>
        <v>1.2356060880813008E-2</v>
      </c>
      <c r="H32" s="75"/>
      <c r="I32" s="4" t="s">
        <v>80</v>
      </c>
      <c r="J32" s="93">
        <f>'Default Spreads for Ratings'!C13/10000</f>
        <v>2.863218313701105E-2</v>
      </c>
      <c r="K32" s="78"/>
      <c r="N32" s="156" t="s">
        <v>175</v>
      </c>
      <c r="O32" s="75">
        <v>74.75</v>
      </c>
    </row>
    <row r="33" spans="1:15">
      <c r="A33" s="46" t="str">
        <f>'ERPs by country'!A40</f>
        <v>China</v>
      </c>
      <c r="B33" s="126" t="e">
        <f t="shared" si="1"/>
        <v>#N/A</v>
      </c>
      <c r="C33" s="24">
        <f>VLOOKUP(A33,Table1[[Country]:[Country Risk Premium]],5)</f>
        <v>5.7996717400677508E-2</v>
      </c>
      <c r="D33" s="24">
        <f>VLOOKUP(A33,Table1[[Country]:[Country Risk Premium]],4)</f>
        <v>6.710667922736965E-3</v>
      </c>
      <c r="E33" s="24">
        <f t="shared" si="0"/>
        <v>5.7996717400677508E-2</v>
      </c>
      <c r="F33" s="57">
        <f>VLOOKUP(A33,'Country Tax Rates'!$A$2:$B$159,2)</f>
        <v>0.25</v>
      </c>
      <c r="G33" s="57">
        <f>VLOOKUP(A33,Table1[[Country]:[Country Risk Premium]],6)</f>
        <v>1.0296717400677511E-2</v>
      </c>
      <c r="H33" s="75"/>
      <c r="I33" s="4" t="s">
        <v>81</v>
      </c>
      <c r="J33" s="93">
        <f>'Default Spreads for Ratings'!C14/10000</f>
        <v>3.4224406405958516E-2</v>
      </c>
      <c r="K33" s="78"/>
      <c r="N33" s="156" t="s">
        <v>101</v>
      </c>
      <c r="O33" s="75">
        <v>80.5</v>
      </c>
    </row>
    <row r="34" spans="1:15">
      <c r="A34" s="46" t="str">
        <f>'ERPs by country'!A41</f>
        <v>Colombia</v>
      </c>
      <c r="B34" s="126">
        <f t="shared" si="1"/>
        <v>64.5</v>
      </c>
      <c r="C34" s="24">
        <f>VLOOKUP(A34,Table1[[Country]:[Country Risk Premium]],5)</f>
        <v>7.979143589877824E-2</v>
      </c>
      <c r="D34" s="24">
        <f>VLOOKUP(A34,Table1[[Country]:[Country Risk Premium]],4)</f>
        <v>2.091491502586354E-2</v>
      </c>
      <c r="E34" s="24">
        <f t="shared" si="0"/>
        <v>7.979143589877824E-2</v>
      </c>
      <c r="F34" s="57">
        <f>VLOOKUP(A34,'Country Tax Rates'!$A$2:$B$159,2)</f>
        <v>0.35</v>
      </c>
      <c r="G34" s="57">
        <f>VLOOKUP(A34,Table1[[Country]:[Country Risk Premium]],6)</f>
        <v>3.2091435898778241E-2</v>
      </c>
      <c r="H34" s="75"/>
      <c r="I34" s="4" t="s">
        <v>48</v>
      </c>
      <c r="J34" s="93">
        <f>'Default Spreads for Ratings'!C9/10000</f>
        <v>4.2836430240137613E-2</v>
      </c>
      <c r="K34" s="78"/>
      <c r="N34" s="156" t="s">
        <v>102</v>
      </c>
      <c r="O34" s="75">
        <v>86.75</v>
      </c>
    </row>
    <row r="35" spans="1:15">
      <c r="A35" s="46" t="str">
        <f>'ERPs by country'!A42</f>
        <v>Congo (Democratic Republic of)</v>
      </c>
      <c r="B35" s="126">
        <f>O26</f>
        <v>56.75</v>
      </c>
      <c r="C35" s="24">
        <f>VLOOKUP(A35,Table1[[Country]:[Country Risk Premium]],5)</f>
        <v>0.14260141204291102</v>
      </c>
      <c r="D35" s="24">
        <f>VLOOKUP(A35,Table1[[Country]:[Country Risk Premium]],4)</f>
        <v>6.1849989354559008E-2</v>
      </c>
      <c r="E35" s="24">
        <f t="shared" si="0"/>
        <v>0.14260141204291102</v>
      </c>
      <c r="F35" s="57">
        <f>VLOOKUP(A35,'Country Tax Rates'!$A$2:$B$159,2)</f>
        <v>0.3</v>
      </c>
      <c r="G35" s="57">
        <f>VLOOKUP(A35,Table1[[Country]:[Country Risk Premium]],6)</f>
        <v>9.4901412042911026E-2</v>
      </c>
      <c r="H35" s="75"/>
      <c r="I35" s="4" t="s">
        <v>49</v>
      </c>
      <c r="J35" s="93">
        <f>'Default Spreads for Ratings'!C10/10000</f>
        <v>5.2343209797348314E-2</v>
      </c>
      <c r="K35" s="78"/>
      <c r="N35" s="156" t="s">
        <v>103</v>
      </c>
      <c r="O35" s="75">
        <v>73.5</v>
      </c>
    </row>
    <row r="36" spans="1:15">
      <c r="A36" s="46" t="str">
        <f>'ERPs by country'!A43</f>
        <v>Congo (Republic of)</v>
      </c>
      <c r="B36" s="126">
        <f>O27</f>
        <v>63</v>
      </c>
      <c r="C36" s="24">
        <f>VLOOKUP(A36,Table1[[Country]:[Country Risk Premium]],5)</f>
        <v>0.17915475881531617</v>
      </c>
      <c r="D36" s="24">
        <f>VLOOKUP(A36,Table1[[Country]:[Country Risk Premium]],4)</f>
        <v>8.5672860480275226E-2</v>
      </c>
      <c r="E36" s="24">
        <f t="shared" si="0"/>
        <v>0.17915475881531617</v>
      </c>
      <c r="F36" s="57">
        <f>VLOOKUP(A36,'Country Tax Rates'!$A$2:$B$159,2)</f>
        <v>0.26860000000000001</v>
      </c>
      <c r="G36" s="57">
        <f>VLOOKUP(A36,Table1[[Country]:[Country Risk Premium]],6)</f>
        <v>0.13145475881531618</v>
      </c>
      <c r="H36" s="75"/>
      <c r="I36" s="4" t="s">
        <v>78</v>
      </c>
      <c r="J36" s="93">
        <f>'Default Spreads for Ratings'!C11/10000</f>
        <v>6.1849989354559008E-2</v>
      </c>
      <c r="K36" s="78"/>
      <c r="N36" s="156" t="s">
        <v>104</v>
      </c>
      <c r="O36" s="75">
        <v>69.75</v>
      </c>
    </row>
    <row r="37" spans="1:15">
      <c r="A37" s="46" t="str">
        <f>'ERPs by country'!A44</f>
        <v>Cook Islands</v>
      </c>
      <c r="B37" s="126" t="e">
        <f t="shared" si="1"/>
        <v>#N/A</v>
      </c>
      <c r="C37" s="24">
        <f>VLOOKUP(A37,Table1[[Country]:[Country Risk Premium]],5)</f>
        <v>0.1134273794076581</v>
      </c>
      <c r="D37" s="24">
        <f>VLOOKUP(A37,Table1[[Country]:[Country Risk Premium]],4)</f>
        <v>4.2836430240137613E-2</v>
      </c>
      <c r="E37" s="24">
        <f t="shared" si="0"/>
        <v>0.1134273794076581</v>
      </c>
      <c r="F37" s="57">
        <f>VLOOKUP(A37,'Country Tax Rates'!$A$2:$B$159,2)</f>
        <v>0.2</v>
      </c>
      <c r="G37" s="57">
        <f>VLOOKUP(A37,Table1[[Country]:[Country Risk Premium]],6)</f>
        <v>6.572737940765809E-2</v>
      </c>
      <c r="H37" s="75"/>
      <c r="I37" s="4" t="s">
        <v>100</v>
      </c>
      <c r="J37" s="93">
        <f>'Default Spreads for Ratings'!C19/10000</f>
        <v>7.1356768911769716E-2</v>
      </c>
      <c r="K37" s="78"/>
      <c r="N37" s="156" t="s">
        <v>105</v>
      </c>
      <c r="O37" s="75">
        <v>62.75</v>
      </c>
    </row>
    <row r="38" spans="1:15">
      <c r="A38" s="46" t="str">
        <f>'ERPs by country'!A45</f>
        <v>Costa Rica</v>
      </c>
      <c r="B38" s="126">
        <f t="shared" si="1"/>
        <v>75.5</v>
      </c>
      <c r="C38" s="24">
        <f>VLOOKUP(A38,Table1[[Country]:[Country Risk Premium]],5)</f>
        <v>9.1632660909557379E-2</v>
      </c>
      <c r="D38" s="24">
        <f>VLOOKUP(A38,Table1[[Country]:[Country Risk Premium]],4)</f>
        <v>2.863218313701105E-2</v>
      </c>
      <c r="E38" s="24">
        <f t="shared" si="0"/>
        <v>9.1632660909557379E-2</v>
      </c>
      <c r="F38" s="57">
        <f>VLOOKUP(A38,'Country Tax Rates'!$A$2:$B$159,2)</f>
        <v>0.3</v>
      </c>
      <c r="G38" s="57">
        <f>VLOOKUP(A38,Table1[[Country]:[Country Risk Premium]],6)</f>
        <v>4.3932660909557379E-2</v>
      </c>
      <c r="H38" s="75"/>
      <c r="I38" s="4" t="s">
        <v>58</v>
      </c>
      <c r="J38" s="93">
        <f>'Default Spreads for Ratings'!C20/10000</f>
        <v>8.5672860480275226E-2</v>
      </c>
      <c r="K38" s="78"/>
      <c r="N38" s="156" t="s">
        <v>31</v>
      </c>
      <c r="O38" s="75">
        <v>72.25</v>
      </c>
    </row>
    <row r="39" spans="1:15">
      <c r="A39" s="46" t="str">
        <f>'ERPs by country'!A46</f>
        <v>Côte d'Ivoire</v>
      </c>
      <c r="B39" s="126">
        <f>O29</f>
        <v>65</v>
      </c>
      <c r="C39" s="24">
        <f>VLOOKUP(A39,Table1[[Country]:[Country Risk Premium]],5)</f>
        <v>9.1632660909557379E-2</v>
      </c>
      <c r="D39" s="24">
        <f>VLOOKUP(A39,Table1[[Country]:[Country Risk Premium]],4)</f>
        <v>2.863218313701105E-2</v>
      </c>
      <c r="E39" s="24">
        <f t="shared" si="0"/>
        <v>9.1632660909557379E-2</v>
      </c>
      <c r="F39" s="57">
        <f>VLOOKUP(A39,'Country Tax Rates'!$A$2:$B$159,2)</f>
        <v>0.25</v>
      </c>
      <c r="G39" s="57">
        <f>VLOOKUP(A39,Table1[[Country]:[Country Risk Premium]],6)</f>
        <v>4.3932660909557379E-2</v>
      </c>
      <c r="H39" s="75"/>
      <c r="I39" s="4" t="s">
        <v>62</v>
      </c>
      <c r="J39" s="93">
        <f>'Default Spreads for Ratings'!C21/10000</f>
        <v>9.5179640037485941E-2</v>
      </c>
      <c r="K39" s="78"/>
      <c r="N39" s="156" t="s">
        <v>106</v>
      </c>
      <c r="O39" s="75">
        <v>69.5</v>
      </c>
    </row>
    <row r="40" spans="1:15">
      <c r="A40" s="46" t="str">
        <f>'ERPs by country'!A47</f>
        <v>Croatia</v>
      </c>
      <c r="B40" s="126">
        <f t="shared" si="1"/>
        <v>72.75</v>
      </c>
      <c r="C40" s="24">
        <f>VLOOKUP(A40,Table1[[Country]:[Country Risk Premium]],5)</f>
        <v>6.5204419581151765E-2</v>
      </c>
      <c r="D40" s="24">
        <f>VLOOKUP(A40,Table1[[Country]:[Country Risk Premium]],4)</f>
        <v>1.1408135468652839E-2</v>
      </c>
      <c r="E40" s="24">
        <f t="shared" si="0"/>
        <v>6.5204419581151765E-2</v>
      </c>
      <c r="F40" s="57">
        <f>VLOOKUP(A40,'Country Tax Rates'!$A$2:$B$159,2)</f>
        <v>0.18</v>
      </c>
      <c r="G40" s="57">
        <f>VLOOKUP(A40,Table1[[Country]:[Country Risk Premium]],6)</f>
        <v>1.7504419581151766E-2</v>
      </c>
      <c r="H40" s="75"/>
      <c r="I40" s="4" t="s">
        <v>335</v>
      </c>
      <c r="J40" s="93">
        <f>'Default Spreads for Ratings'!C18/10000</f>
        <v>0.11419319915190733</v>
      </c>
      <c r="K40" s="78"/>
      <c r="N40" s="156" t="s">
        <v>279</v>
      </c>
      <c r="O40" s="75">
        <v>57.5</v>
      </c>
    </row>
    <row r="41" spans="1:15">
      <c r="A41" s="46" t="str">
        <f>'ERPs by country'!A48</f>
        <v>Cuba</v>
      </c>
      <c r="B41" s="126">
        <f t="shared" si="1"/>
        <v>56.75</v>
      </c>
      <c r="C41" s="24">
        <f>VLOOKUP(A41,Table1[[Country]:[Country Risk Premium]],5)</f>
        <v>0.22291580776819558</v>
      </c>
      <c r="D41" s="24">
        <f>VLOOKUP(A41,Table1[[Country]:[Country Risk Premium]],4)</f>
        <v>0.11419319915190733</v>
      </c>
      <c r="E41" s="24">
        <f t="shared" si="0"/>
        <v>0.22291580776819558</v>
      </c>
      <c r="F41" s="57">
        <f>VLOOKUP(A41,'Country Tax Rates'!$A$2:$B$159,2)</f>
        <v>0.35</v>
      </c>
      <c r="G41" s="57">
        <f>VLOOKUP(A41,Table1[[Country]:[Country Risk Premium]],6)</f>
        <v>0.17521580776819559</v>
      </c>
      <c r="H41" s="75"/>
      <c r="I41" s="4" t="s">
        <v>137</v>
      </c>
      <c r="J41" s="93">
        <f>'ERPs by country'!C207/10000</f>
        <v>0.17499999999999999</v>
      </c>
      <c r="K41" s="83"/>
      <c r="N41" s="156" t="s">
        <v>176</v>
      </c>
      <c r="O41" s="75">
        <v>78.5</v>
      </c>
    </row>
    <row r="42" spans="1:15">
      <c r="A42" s="46" t="str">
        <f>'ERPs by country'!A49</f>
        <v>Curacao</v>
      </c>
      <c r="B42" s="126" t="e">
        <f t="shared" si="1"/>
        <v>#N/A</v>
      </c>
      <c r="C42" s="24">
        <f>VLOOKUP(A42,Table1[[Country]:[Country Risk Premium]],5)</f>
        <v>7.979143589877824E-2</v>
      </c>
      <c r="D42" s="24">
        <f>VLOOKUP(A42,Table1[[Country]:[Country Risk Premium]],4)</f>
        <v>2.091491502586354E-2</v>
      </c>
      <c r="E42" s="24">
        <f t="shared" si="0"/>
        <v>7.979143589877824E-2</v>
      </c>
      <c r="F42" s="57">
        <f>VLOOKUP(A42,'Country Tax Rates'!$A$2:$B$159,2)</f>
        <v>0.22</v>
      </c>
      <c r="G42" s="57">
        <f>VLOOKUP(A42,Table1[[Country]:[Country Risk Premium]],6)</f>
        <v>3.2091435898778241E-2</v>
      </c>
      <c r="H42" s="75"/>
      <c r="N42" s="156" t="s">
        <v>177</v>
      </c>
      <c r="O42" s="75">
        <v>73.5</v>
      </c>
    </row>
    <row r="43" spans="1:15">
      <c r="A43" s="46" t="str">
        <f>'ERPs by country'!A50</f>
        <v>Cyprus</v>
      </c>
      <c r="B43" s="126">
        <f t="shared" si="1"/>
        <v>74.75</v>
      </c>
      <c r="C43" s="24">
        <f>VLOOKUP(A43,Table1[[Country]:[Country Risk Premium]],5)</f>
        <v>6.5204419581151765E-2</v>
      </c>
      <c r="D43" s="24">
        <f>VLOOKUP(A43,Table1[[Country]:[Country Risk Premium]],4)</f>
        <v>1.1408135468652839E-2</v>
      </c>
      <c r="E43" s="24">
        <f t="shared" si="0"/>
        <v>6.5204419581151765E-2</v>
      </c>
      <c r="F43" s="57">
        <f>VLOOKUP(A43,'Country Tax Rates'!$A$2:$B$159,2)</f>
        <v>0.125</v>
      </c>
      <c r="G43" s="57">
        <f>VLOOKUP(A43,Table1[[Country]:[Country Risk Premium]],6)</f>
        <v>1.7504419581151766E-2</v>
      </c>
      <c r="H43" s="75"/>
      <c r="N43" s="156" t="s">
        <v>217</v>
      </c>
      <c r="O43" s="75">
        <v>70.25</v>
      </c>
    </row>
    <row r="44" spans="1:15">
      <c r="A44" s="46" t="str">
        <f>'ERPs by country'!A51</f>
        <v>Czech Republic</v>
      </c>
      <c r="B44" s="126">
        <f t="shared" si="1"/>
        <v>80.5</v>
      </c>
      <c r="C44" s="24">
        <f>VLOOKUP(A44,Table1[[Country]:[Country Risk Premium]],5)</f>
        <v>5.6452209790575886E-2</v>
      </c>
      <c r="D44" s="24">
        <f>VLOOKUP(A44,Table1[[Country]:[Country Risk Premium]],4)</f>
        <v>5.7040677343264193E-3</v>
      </c>
      <c r="E44" s="24">
        <f t="shared" si="0"/>
        <v>5.6452209790575886E-2</v>
      </c>
      <c r="F44" s="57">
        <f>VLOOKUP(A44,'Country Tax Rates'!$A$2:$B$159,2)</f>
        <v>0.21</v>
      </c>
      <c r="G44" s="57">
        <f>VLOOKUP(A44,Table1[[Country]:[Country Risk Premium]],6)</f>
        <v>8.7522097905758829E-3</v>
      </c>
      <c r="H44" s="75"/>
      <c r="N44" s="156" t="s">
        <v>326</v>
      </c>
      <c r="O44" s="75">
        <v>65.5</v>
      </c>
    </row>
    <row r="45" spans="1:15">
      <c r="A45" s="46" t="str">
        <f>'ERPs by country'!A52</f>
        <v>Denmark</v>
      </c>
      <c r="B45" s="126">
        <f t="shared" si="1"/>
        <v>86.75</v>
      </c>
      <c r="C45" s="24">
        <f>VLOOKUP(A45,Table1[[Country]:[Country Risk Premium]],5)</f>
        <v>4.7699999999999999E-2</v>
      </c>
      <c r="D45" s="24">
        <f>VLOOKUP(A45,Table1[[Country]:[Country Risk Premium]],4)</f>
        <v>0</v>
      </c>
      <c r="E45" s="24">
        <f t="shared" si="0"/>
        <v>4.7699999999999999E-2</v>
      </c>
      <c r="F45" s="57">
        <f>VLOOKUP(A45,'Country Tax Rates'!$A$2:$B$159,2)</f>
        <v>0.22</v>
      </c>
      <c r="G45" s="57">
        <f>VLOOKUP(A45,Table1[[Country]:[Country Risk Premium]],6)</f>
        <v>0</v>
      </c>
      <c r="H45" s="75"/>
      <c r="N45" s="156" t="s">
        <v>178</v>
      </c>
      <c r="O45" s="75">
        <v>80.25</v>
      </c>
    </row>
    <row r="46" spans="1:15">
      <c r="A46" s="46" t="str">
        <f>'ERPs by country'!A53</f>
        <v>Dominican Republic</v>
      </c>
      <c r="B46" s="126">
        <f t="shared" si="1"/>
        <v>73.5</v>
      </c>
      <c r="C46" s="24">
        <f>VLOOKUP(A46,Table1[[Country]:[Country Risk Premium]],5)</f>
        <v>9.1632660909557379E-2</v>
      </c>
      <c r="D46" s="24">
        <f>VLOOKUP(A46,Table1[[Country]:[Country Risk Premium]],4)</f>
        <v>2.863218313701105E-2</v>
      </c>
      <c r="E46" s="24">
        <f t="shared" si="0"/>
        <v>9.1632660909557379E-2</v>
      </c>
      <c r="F46" s="57">
        <f>VLOOKUP(A46,'Country Tax Rates'!$A$2:$B$159,2)</f>
        <v>0.27</v>
      </c>
      <c r="G46" s="57">
        <f>VLOOKUP(A46,Table1[[Country]:[Country Risk Premium]],6)</f>
        <v>4.3932660909557379E-2</v>
      </c>
      <c r="H46" s="75"/>
      <c r="N46" s="156" t="s">
        <v>218</v>
      </c>
      <c r="O46" s="75">
        <v>69</v>
      </c>
    </row>
    <row r="47" spans="1:15">
      <c r="A47" s="46" t="str">
        <f>'ERPs by country'!A54</f>
        <v>Ecuador</v>
      </c>
      <c r="B47" s="126">
        <f t="shared" si="1"/>
        <v>69.75</v>
      </c>
      <c r="C47" s="24">
        <f>VLOOKUP(A47,Table1[[Country]:[Country Risk Premium]],5)</f>
        <v>0.19374177513294266</v>
      </c>
      <c r="D47" s="24">
        <f>VLOOKUP(A47,Table1[[Country]:[Country Risk Premium]],4)</f>
        <v>9.5179640037485941E-2</v>
      </c>
      <c r="E47" s="24">
        <f t="shared" si="0"/>
        <v>0.19374177513294266</v>
      </c>
      <c r="F47" s="57">
        <f>VLOOKUP(A47,'Country Tax Rates'!$A$2:$B$159,2)</f>
        <v>0.25</v>
      </c>
      <c r="G47" s="57">
        <f>VLOOKUP(A47,Table1[[Country]:[Country Risk Premium]],6)</f>
        <v>0.14604177513294267</v>
      </c>
      <c r="H47" s="75"/>
      <c r="N47" s="156" t="s">
        <v>179</v>
      </c>
      <c r="O47" s="75">
        <v>70</v>
      </c>
    </row>
    <row r="48" spans="1:15">
      <c r="A48" s="46" t="str">
        <f>'ERPs by country'!A55</f>
        <v>Egypt</v>
      </c>
      <c r="B48" s="126">
        <f t="shared" si="1"/>
        <v>62.75</v>
      </c>
      <c r="C48" s="24">
        <f>VLOOKUP(A48,Table1[[Country]:[Country Risk Premium]],5)</f>
        <v>0.15718842836053751</v>
      </c>
      <c r="D48" s="24">
        <f>VLOOKUP(A48,Table1[[Country]:[Country Risk Premium]],4)</f>
        <v>7.1356768911769716E-2</v>
      </c>
      <c r="E48" s="24">
        <f t="shared" si="0"/>
        <v>0.15718842836053751</v>
      </c>
      <c r="F48" s="57">
        <f>VLOOKUP(A48,'Country Tax Rates'!$A$2:$B$159,2)</f>
        <v>0.22500000000000001</v>
      </c>
      <c r="G48" s="57">
        <f>VLOOKUP(A48,Table1[[Country]:[Country Risk Premium]],6)</f>
        <v>0.10948842836053752</v>
      </c>
      <c r="H48" s="75"/>
      <c r="N48" s="156" t="s">
        <v>107</v>
      </c>
      <c r="O48" s="75">
        <v>71.75</v>
      </c>
    </row>
    <row r="49" spans="1:15">
      <c r="A49" s="46" t="str">
        <f>'ERPs by country'!A56</f>
        <v>El Salvador</v>
      </c>
      <c r="B49" s="126">
        <f t="shared" si="1"/>
        <v>72.25</v>
      </c>
      <c r="C49" s="24">
        <f>VLOOKUP(A49,Table1[[Country]:[Country Risk Premium]],5)</f>
        <v>0.14260141204291102</v>
      </c>
      <c r="D49" s="24">
        <f>VLOOKUP(A49,Table1[[Country]:[Country Risk Premium]],4)</f>
        <v>6.1849989354559008E-2</v>
      </c>
      <c r="E49" s="24">
        <f t="shared" si="0"/>
        <v>0.14260141204291102</v>
      </c>
      <c r="F49" s="57">
        <f>VLOOKUP(A49,'Country Tax Rates'!$A$2:$B$159,2)</f>
        <v>0.3</v>
      </c>
      <c r="G49" s="57">
        <f>VLOOKUP(A49,Table1[[Country]:[Country Risk Premium]],6)</f>
        <v>9.4901412042911026E-2</v>
      </c>
      <c r="H49" s="75"/>
      <c r="N49" s="156" t="s">
        <v>309</v>
      </c>
      <c r="O49" s="75">
        <v>59.5</v>
      </c>
    </row>
    <row r="50" spans="1:15">
      <c r="A50" s="46" t="str">
        <f>'ERPs by country'!A57</f>
        <v>Estonia</v>
      </c>
      <c r="B50" s="126">
        <f t="shared" si="1"/>
        <v>69.5</v>
      </c>
      <c r="C50" s="24">
        <f>VLOOKUP(A50,Table1[[Country]:[Country Risk Premium]],5)</f>
        <v>5.7996717400677508E-2</v>
      </c>
      <c r="D50" s="24">
        <f>VLOOKUP(A50,Table1[[Country]:[Country Risk Premium]],4)</f>
        <v>6.710667922736965E-3</v>
      </c>
      <c r="E50" s="24">
        <f t="shared" si="0"/>
        <v>5.7996717400677508E-2</v>
      </c>
      <c r="F50" s="57">
        <f>VLOOKUP(A50,'Country Tax Rates'!$A$2:$B$159,2)</f>
        <v>0.2</v>
      </c>
      <c r="G50" s="57">
        <f>VLOOKUP(A50,Table1[[Country]:[Country Risk Premium]],6)</f>
        <v>1.0296717400677511E-2</v>
      </c>
      <c r="H50" s="75"/>
      <c r="N50" s="156" t="s">
        <v>325</v>
      </c>
      <c r="O50" s="75">
        <v>60.75</v>
      </c>
    </row>
    <row r="51" spans="1:15">
      <c r="A51" s="46" t="str">
        <f>'ERPs by country'!A58</f>
        <v>Ethiopia</v>
      </c>
      <c r="B51" s="126">
        <f t="shared" si="1"/>
        <v>57.5</v>
      </c>
      <c r="C51" s="24">
        <f>VLOOKUP(A51,Table1[[Country]:[Country Risk Premium]],5)</f>
        <v>0.17915475881531617</v>
      </c>
      <c r="D51" s="24">
        <f>VLOOKUP(A51,Table1[[Country]:[Country Risk Premium]],4)</f>
        <v>8.5672860480275226E-2</v>
      </c>
      <c r="E51" s="24">
        <f t="shared" si="0"/>
        <v>0.17915475881531617</v>
      </c>
      <c r="F51" s="57">
        <f>VLOOKUP(A51,'Country Tax Rates'!$A$2:$B$159,2)</f>
        <v>0.3</v>
      </c>
      <c r="G51" s="57">
        <f>VLOOKUP(A51,Table1[[Country]:[Country Risk Premium]],6)</f>
        <v>0.13145475881531618</v>
      </c>
      <c r="H51" s="75"/>
      <c r="N51" s="156" t="s">
        <v>322</v>
      </c>
      <c r="O51" s="75">
        <v>75.5</v>
      </c>
    </row>
    <row r="52" spans="1:15">
      <c r="A52" s="46" t="str">
        <f>'ERPs by country'!A59</f>
        <v>Fiji</v>
      </c>
      <c r="B52" s="126" t="e">
        <f t="shared" si="1"/>
        <v>#N/A</v>
      </c>
      <c r="C52" s="24">
        <f>VLOOKUP(A52,Table1[[Country]:[Country Risk Premium]],5)</f>
        <v>0.1134273794076581</v>
      </c>
      <c r="D52" s="24">
        <f>VLOOKUP(A52,Table1[[Country]:[Country Risk Premium]],4)</f>
        <v>4.2836430240137613E-2</v>
      </c>
      <c r="E52" s="24">
        <f t="shared" si="0"/>
        <v>0.1134273794076581</v>
      </c>
      <c r="F52" s="57">
        <f>VLOOKUP(A52,'Country Tax Rates'!$A$2:$B$159,2)</f>
        <v>0.25</v>
      </c>
      <c r="G52" s="57">
        <f>VLOOKUP(A52,Table1[[Country]:[Country Risk Premium]],6)</f>
        <v>6.572737940765809E-2</v>
      </c>
      <c r="H52" s="75"/>
      <c r="N52" s="156" t="s">
        <v>318</v>
      </c>
      <c r="O52" s="75">
        <v>56.75</v>
      </c>
    </row>
    <row r="53" spans="1:15">
      <c r="A53" s="46" t="str">
        <f>'ERPs by country'!A60</f>
        <v>Finland</v>
      </c>
      <c r="B53" s="126">
        <f t="shared" si="1"/>
        <v>78.5</v>
      </c>
      <c r="C53" s="24">
        <f>VLOOKUP(A53,Table1[[Country]:[Country Risk Premium]],5)</f>
        <v>5.1709599506545502E-2</v>
      </c>
      <c r="D53" s="24">
        <f>VLOOKUP(A53,Table1[[Country]:[Country Risk Premium]],4)</f>
        <v>2.6131717269259457E-3</v>
      </c>
      <c r="E53" s="24">
        <f t="shared" si="0"/>
        <v>5.1709599506545502E-2</v>
      </c>
      <c r="F53" s="57">
        <f>VLOOKUP(A53,'Country Tax Rates'!$A$2:$B$159,2)</f>
        <v>0.2</v>
      </c>
      <c r="G53" s="57">
        <f>VLOOKUP(A53,Table1[[Country]:[Country Risk Premium]],6)</f>
        <v>4.0095995065455052E-3</v>
      </c>
      <c r="H53" s="75"/>
      <c r="N53" s="156" t="s">
        <v>108</v>
      </c>
      <c r="O53" s="75">
        <v>67.25</v>
      </c>
    </row>
    <row r="54" spans="1:15">
      <c r="A54" s="46" t="str">
        <f>'ERPs by country'!A61</f>
        <v>France</v>
      </c>
      <c r="B54" s="126">
        <f t="shared" si="1"/>
        <v>73.5</v>
      </c>
      <c r="C54" s="24">
        <f>VLOOKUP(A54,Table1[[Country]:[Country Risk Premium]],5)</f>
        <v>5.6452209790575886E-2</v>
      </c>
      <c r="D54" s="24">
        <f>VLOOKUP(A54,Table1[[Country]:[Country Risk Premium]],4)</f>
        <v>5.7040677343264193E-3</v>
      </c>
      <c r="E54" s="24">
        <f t="shared" si="0"/>
        <v>5.6452209790575886E-2</v>
      </c>
      <c r="F54" s="57">
        <f>VLOOKUP(A54,'Country Tax Rates'!$A$2:$B$159,2)</f>
        <v>0.25829999999999997</v>
      </c>
      <c r="G54" s="57">
        <f>VLOOKUP(A54,Table1[[Country]:[Country Risk Premium]],6)</f>
        <v>8.7522097905758829E-3</v>
      </c>
      <c r="H54" s="75"/>
      <c r="N54" s="156" t="s">
        <v>59</v>
      </c>
      <c r="O54" s="75">
        <v>80</v>
      </c>
    </row>
    <row r="55" spans="1:15">
      <c r="A55" s="46" t="str">
        <f>'ERPs by country'!A62</f>
        <v>Gabon</v>
      </c>
      <c r="B55" s="126">
        <f t="shared" si="1"/>
        <v>70.25</v>
      </c>
      <c r="C55" s="24">
        <f>VLOOKUP(A55,Table1[[Country]:[Country Risk Premium]],5)</f>
        <v>0.17915475881531617</v>
      </c>
      <c r="D55" s="24">
        <f>VLOOKUP(A55,Table1[[Country]:[Country Risk Premium]],4)</f>
        <v>8.5672860480275226E-2</v>
      </c>
      <c r="E55" s="24">
        <f t="shared" si="0"/>
        <v>0.17915475881531617</v>
      </c>
      <c r="F55" s="57">
        <f>VLOOKUP(A55,'Country Tax Rates'!$A$2:$B$159,2)</f>
        <v>0.3</v>
      </c>
      <c r="G55" s="57">
        <f>VLOOKUP(A55,Table1[[Country]:[Country Risk Premium]],6)</f>
        <v>0.13145475881531618</v>
      </c>
      <c r="H55" s="75"/>
      <c r="N55" s="156" t="s">
        <v>109</v>
      </c>
      <c r="O55" s="75">
        <v>72</v>
      </c>
    </row>
    <row r="56" spans="1:15">
      <c r="A56" s="46" t="str">
        <f>'ERPs by country'!A63</f>
        <v>Georgia</v>
      </c>
      <c r="B56" s="126" t="e">
        <f t="shared" si="1"/>
        <v>#N/A</v>
      </c>
      <c r="C56" s="24">
        <f>VLOOKUP(A56,Table1[[Country]:[Country Risk Premium]],5)</f>
        <v>9.1632660909557379E-2</v>
      </c>
      <c r="D56" s="24">
        <f>VLOOKUP(A56,Table1[[Country]:[Country Risk Premium]],4)</f>
        <v>2.863218313701105E-2</v>
      </c>
      <c r="E56" s="24">
        <f t="shared" si="0"/>
        <v>9.1632660909557379E-2</v>
      </c>
      <c r="F56" s="57">
        <f>VLOOKUP(A56,'Country Tax Rates'!$A$2:$B$159,2)</f>
        <v>0.15</v>
      </c>
      <c r="G56" s="57">
        <f>VLOOKUP(A56,Table1[[Country]:[Country Risk Premium]],6)</f>
        <v>4.3932660909557379E-2</v>
      </c>
      <c r="H56" s="75"/>
      <c r="N56" s="156" t="s">
        <v>110</v>
      </c>
      <c r="O56" s="75">
        <v>83.5</v>
      </c>
    </row>
    <row r="57" spans="1:15">
      <c r="A57" s="46" t="str">
        <f>'ERPs by country'!A64</f>
        <v>Germany</v>
      </c>
      <c r="B57" s="126">
        <f t="shared" si="1"/>
        <v>80.25</v>
      </c>
      <c r="C57" s="24">
        <f>VLOOKUP(A57,Table1[[Country]:[Country Risk Premium]],5)</f>
        <v>4.7699999999999999E-2</v>
      </c>
      <c r="D57" s="24">
        <f>VLOOKUP(A57,Table1[[Country]:[Country Risk Premium]],4)</f>
        <v>0</v>
      </c>
      <c r="E57" s="24">
        <f t="shared" si="0"/>
        <v>4.7699999999999999E-2</v>
      </c>
      <c r="F57" s="57">
        <f>VLOOKUP(A57,'Country Tax Rates'!$A$2:$B$159,2)</f>
        <v>0.29930000000000001</v>
      </c>
      <c r="G57" s="57">
        <f>VLOOKUP(A57,Table1[[Country]:[Country Risk Premium]],6)</f>
        <v>0</v>
      </c>
      <c r="H57" s="75"/>
      <c r="N57" s="156" t="s">
        <v>111</v>
      </c>
      <c r="O57" s="75">
        <v>72</v>
      </c>
    </row>
    <row r="58" spans="1:15">
      <c r="A58" s="46" t="str">
        <f>'ERPs by country'!A65</f>
        <v>Ghana</v>
      </c>
      <c r="B58" s="126">
        <f t="shared" si="1"/>
        <v>69</v>
      </c>
      <c r="C58" s="24">
        <f>VLOOKUP(A58,Table1[[Country]:[Country Risk Premium]],5)</f>
        <v>0.15718842836053751</v>
      </c>
      <c r="D58" s="24">
        <f>VLOOKUP(A58,Table1[[Country]:[Country Risk Premium]],4)</f>
        <v>7.1356768911769716E-2</v>
      </c>
      <c r="E58" s="24">
        <f t="shared" si="0"/>
        <v>0.15718842836053751</v>
      </c>
      <c r="F58" s="57">
        <f>VLOOKUP(A58,'Country Tax Rates'!$A$2:$B$159,2)</f>
        <v>0.25</v>
      </c>
      <c r="G58" s="57">
        <f>VLOOKUP(A58,Table1[[Country]:[Country Risk Premium]],6)</f>
        <v>0.10948842836053752</v>
      </c>
      <c r="H58" s="75"/>
      <c r="N58" s="156" t="s">
        <v>112</v>
      </c>
      <c r="O58" s="75">
        <v>68.5</v>
      </c>
    </row>
    <row r="59" spans="1:15">
      <c r="A59" s="46" t="str">
        <f>'ERPs by country'!A66</f>
        <v>Greece</v>
      </c>
      <c r="B59" s="126">
        <f t="shared" si="1"/>
        <v>70</v>
      </c>
      <c r="C59" s="24">
        <f>VLOOKUP(A59,Table1[[Country]:[Country Risk Premium]],5)</f>
        <v>7.979143589877824E-2</v>
      </c>
      <c r="D59" s="24">
        <f>VLOOKUP(A59,Table1[[Country]:[Country Risk Premium]],4)</f>
        <v>2.091491502586354E-2</v>
      </c>
      <c r="E59" s="24">
        <f t="shared" si="0"/>
        <v>7.979143589877824E-2</v>
      </c>
      <c r="F59" s="57">
        <f>VLOOKUP(A59,'Country Tax Rates'!$A$2:$B$159,2)</f>
        <v>0.22</v>
      </c>
      <c r="G59" s="57">
        <f>VLOOKUP(A59,Table1[[Country]:[Country Risk Premium]],6)</f>
        <v>3.2091435898778241E-2</v>
      </c>
      <c r="H59" s="75"/>
      <c r="N59" s="156" t="s">
        <v>320</v>
      </c>
      <c r="O59" s="75">
        <v>61.25</v>
      </c>
    </row>
    <row r="60" spans="1:15">
      <c r="A60" s="46" t="str">
        <f>'ERPs by country'!A67</f>
        <v>Guatemala</v>
      </c>
      <c r="B60" s="126">
        <f t="shared" si="1"/>
        <v>71.75</v>
      </c>
      <c r="C60" s="24">
        <f>VLOOKUP(A60,Table1[[Country]:[Country Risk Premium]],5)</f>
        <v>8.425334677240516E-2</v>
      </c>
      <c r="D60" s="24">
        <f>VLOOKUP(A60,Table1[[Country]:[Country Risk Premium]],4)</f>
        <v>2.3822871125716225E-2</v>
      </c>
      <c r="E60" s="24">
        <f t="shared" si="0"/>
        <v>8.425334677240516E-2</v>
      </c>
      <c r="F60" s="57">
        <f>VLOOKUP(A60,'Country Tax Rates'!$A$2:$B$159,2)</f>
        <v>0.25</v>
      </c>
      <c r="G60" s="57">
        <f>VLOOKUP(A60,Table1[[Country]:[Country Risk Premium]],6)</f>
        <v>3.6553346772405161E-2</v>
      </c>
      <c r="H60" s="75"/>
      <c r="N60" s="156" t="s">
        <v>323</v>
      </c>
      <c r="O60" s="75">
        <v>66.25</v>
      </c>
    </row>
    <row r="61" spans="1:15">
      <c r="A61" s="46" t="str">
        <f>'ERPs by country'!A68</f>
        <v>Guernsey (States of)</v>
      </c>
      <c r="B61" s="126" t="e">
        <f t="shared" si="1"/>
        <v>#N/A</v>
      </c>
      <c r="C61" s="24">
        <f>VLOOKUP(A61,Table1[[Country]:[Country Risk Premium]],5)</f>
        <v>5.7996717400677508E-2</v>
      </c>
      <c r="D61" s="24">
        <f>VLOOKUP(A61,Table1[[Country]:[Country Risk Premium]],4)</f>
        <v>6.710667922736965E-3</v>
      </c>
      <c r="E61" s="24">
        <f t="shared" si="0"/>
        <v>5.7996717400677508E-2</v>
      </c>
      <c r="F61" s="57">
        <f>VLOOKUP(A61,'Country Tax Rates'!$A$2:$B$159,2)</f>
        <v>0</v>
      </c>
      <c r="G61" s="57">
        <f>VLOOKUP(A61,Table1[[Country]:[Country Risk Premium]],6)</f>
        <v>1.0296717400677511E-2</v>
      </c>
      <c r="H61" s="75"/>
      <c r="N61" s="156" t="s">
        <v>180</v>
      </c>
      <c r="O61" s="75">
        <v>84.5</v>
      </c>
    </row>
    <row r="62" spans="1:15">
      <c r="A62" s="46" t="str">
        <f>'ERPs by country'!A69</f>
        <v>Honduras</v>
      </c>
      <c r="B62" s="126">
        <f t="shared" si="1"/>
        <v>67.25</v>
      </c>
      <c r="C62" s="24">
        <f>VLOOKUP(A62,Table1[[Country]:[Country Risk Premium]],5)</f>
        <v>0.1134273794076581</v>
      </c>
      <c r="D62" s="24">
        <f>VLOOKUP(A62,Table1[[Country]:[Country Risk Premium]],4)</f>
        <v>4.2836430240137613E-2</v>
      </c>
      <c r="E62" s="24">
        <f t="shared" si="0"/>
        <v>0.1134273794076581</v>
      </c>
      <c r="F62" s="57">
        <f>VLOOKUP(A62,'Country Tax Rates'!$A$2:$B$159,2)</f>
        <v>0.3</v>
      </c>
      <c r="G62" s="57">
        <f>VLOOKUP(A62,Table1[[Country]:[Country Risk Premium]],6)</f>
        <v>6.572737940765809E-2</v>
      </c>
      <c r="H62" s="75"/>
      <c r="N62" s="156" t="s">
        <v>114</v>
      </c>
      <c r="O62" s="75">
        <v>74</v>
      </c>
    </row>
    <row r="63" spans="1:15">
      <c r="A63" s="46" t="str">
        <f>'ERPs by country'!A70</f>
        <v>Hong Kong</v>
      </c>
      <c r="B63" s="126">
        <f t="shared" si="1"/>
        <v>80</v>
      </c>
      <c r="C63" s="24">
        <f>VLOOKUP(A63,Table1[[Country]:[Country Risk Premium]],5)</f>
        <v>5.6452209790575886E-2</v>
      </c>
      <c r="D63" s="24">
        <f>VLOOKUP(A63,Table1[[Country]:[Country Risk Premium]],4)</f>
        <v>5.7040677343264193E-3</v>
      </c>
      <c r="E63" s="24">
        <f t="shared" si="0"/>
        <v>5.6452209790575886E-2</v>
      </c>
      <c r="F63" s="57">
        <f>VLOOKUP(A63,'Country Tax Rates'!$A$2:$B$159,2)</f>
        <v>0.16500000000000001</v>
      </c>
      <c r="G63" s="57">
        <f>VLOOKUP(A63,Table1[[Country]:[Country Risk Premium]],6)</f>
        <v>8.7522097905758829E-3</v>
      </c>
      <c r="H63" s="75"/>
      <c r="N63" s="156" t="s">
        <v>144</v>
      </c>
      <c r="O63" s="75">
        <v>76.75</v>
      </c>
    </row>
    <row r="64" spans="1:15">
      <c r="A64" s="46" t="str">
        <f>'ERPs by country'!A71</f>
        <v>Hungary</v>
      </c>
      <c r="B64" s="126">
        <f t="shared" si="1"/>
        <v>72</v>
      </c>
      <c r="C64" s="24">
        <f>VLOOKUP(A64,Table1[[Country]:[Country Risk Premium]],5)</f>
        <v>7.5501136981829281E-2</v>
      </c>
      <c r="D64" s="24">
        <f>VLOOKUP(A64,Table1[[Country]:[Country Risk Premium]],4)</f>
        <v>1.8118803391389805E-2</v>
      </c>
      <c r="E64" s="24">
        <f t="shared" si="0"/>
        <v>7.5501136981829281E-2</v>
      </c>
      <c r="F64" s="57">
        <f>VLOOKUP(A64,'Country Tax Rates'!$A$2:$B$159,2)</f>
        <v>0.09</v>
      </c>
      <c r="G64" s="57">
        <f>VLOOKUP(A64,Table1[[Country]:[Country Risk Premium]],6)</f>
        <v>2.7801136981829278E-2</v>
      </c>
      <c r="H64" s="75"/>
      <c r="N64" s="156" t="s">
        <v>115</v>
      </c>
      <c r="O64" s="75">
        <v>76.75</v>
      </c>
    </row>
    <row r="65" spans="1:15">
      <c r="A65" s="46" t="str">
        <f>'ERPs by country'!A72</f>
        <v>Iceland</v>
      </c>
      <c r="B65" s="126">
        <f t="shared" si="1"/>
        <v>83.5</v>
      </c>
      <c r="C65" s="24">
        <f>VLOOKUP(A65,Table1[[Country]:[Country Risk Premium]],5)</f>
        <v>5.7996717400677508E-2</v>
      </c>
      <c r="D65" s="24">
        <f>VLOOKUP(A65,Table1[[Country]:[Country Risk Premium]],4)</f>
        <v>6.710667922736965E-3</v>
      </c>
      <c r="E65" s="24">
        <f t="shared" si="0"/>
        <v>5.7996717400677508E-2</v>
      </c>
      <c r="F65" s="57">
        <f>VLOOKUP(A65,'Country Tax Rates'!$A$2:$B$159,2)</f>
        <v>0.21</v>
      </c>
      <c r="G65" s="57">
        <f>VLOOKUP(A65,Table1[[Country]:[Country Risk Premium]],6)</f>
        <v>1.0296717400677511E-2</v>
      </c>
      <c r="H65" s="75"/>
      <c r="N65" s="156" t="s">
        <v>116</v>
      </c>
      <c r="O65" s="75">
        <v>80.25</v>
      </c>
    </row>
    <row r="66" spans="1:15">
      <c r="A66" s="46" t="str">
        <f>'ERPs by country'!A73</f>
        <v>India</v>
      </c>
      <c r="B66" s="126">
        <f t="shared" si="1"/>
        <v>72</v>
      </c>
      <c r="C66" s="24">
        <f>VLOOKUP(A66,Table1[[Country]:[Country Risk Premium]],5)</f>
        <v>7.979143589877824E-2</v>
      </c>
      <c r="D66" s="24">
        <f>VLOOKUP(A66,Table1[[Country]:[Country Risk Premium]],4)</f>
        <v>2.091491502586354E-2</v>
      </c>
      <c r="E66" s="24">
        <f t="shared" si="0"/>
        <v>7.979143589877824E-2</v>
      </c>
      <c r="F66" s="57">
        <f>VLOOKUP(A66,'Country Tax Rates'!$A$2:$B$159,2)</f>
        <v>0.3</v>
      </c>
      <c r="G66" s="57">
        <f>VLOOKUP(A66,Table1[[Country]:[Country Risk Premium]],6)</f>
        <v>3.2091435898778241E-2</v>
      </c>
      <c r="H66" s="75"/>
      <c r="N66" s="156" t="s">
        <v>117</v>
      </c>
      <c r="O66" s="75">
        <v>65</v>
      </c>
    </row>
    <row r="67" spans="1:15">
      <c r="A67" s="46" t="str">
        <f>'ERPs by country'!A74</f>
        <v>Indonesia</v>
      </c>
      <c r="B67" s="126">
        <f t="shared" si="1"/>
        <v>68.5</v>
      </c>
      <c r="C67" s="24">
        <f>VLOOKUP(A67,Table1[[Country]:[Country Risk Premium]],5)</f>
        <v>7.5501136981829281E-2</v>
      </c>
      <c r="D67" s="24">
        <f>VLOOKUP(A67,Table1[[Country]:[Country Risk Premium]],4)</f>
        <v>1.8118803391389805E-2</v>
      </c>
      <c r="E67" s="24">
        <f t="shared" ref="E67:E130" si="2">C67</f>
        <v>7.5501136981829281E-2</v>
      </c>
      <c r="F67" s="57">
        <f>VLOOKUP(A67,'Country Tax Rates'!$A$2:$B$159,2)</f>
        <v>0.22</v>
      </c>
      <c r="G67" s="57">
        <f>VLOOKUP(A67,Table1[[Country]:[Country Risk Premium]],6)</f>
        <v>2.7801136981829278E-2</v>
      </c>
      <c r="H67" s="75"/>
      <c r="N67" s="156" t="s">
        <v>118</v>
      </c>
      <c r="O67" s="75">
        <v>74.75</v>
      </c>
    </row>
    <row r="68" spans="1:15">
      <c r="A68" s="46" t="str">
        <f>'ERPs by country'!A75</f>
        <v>Iraq</v>
      </c>
      <c r="B68" s="126">
        <f t="shared" ref="B68:B132" si="3">VLOOKUP(A68,$N$2:$O$142,2,FALSE)</f>
        <v>66.25</v>
      </c>
      <c r="C68" s="24">
        <f>VLOOKUP(A68,Table1[[Country]:[Country Risk Premium]],5)</f>
        <v>0.15718842836053751</v>
      </c>
      <c r="D68" s="24">
        <f>VLOOKUP(A68,Table1[[Country]:[Country Risk Premium]],4)</f>
        <v>7.1356768911769716E-2</v>
      </c>
      <c r="E68" s="24">
        <f t="shared" si="2"/>
        <v>0.15718842836053751</v>
      </c>
      <c r="F68" s="57">
        <f>VLOOKUP(A68,'Country Tax Rates'!$A$2:$B$159,2)</f>
        <v>0.15</v>
      </c>
      <c r="G68" s="57">
        <f>VLOOKUP(A68,Table1[[Country]:[Country Risk Premium]],6)</f>
        <v>0.10948842836053752</v>
      </c>
      <c r="H68" s="75"/>
      <c r="N68" s="156" t="s">
        <v>181</v>
      </c>
      <c r="O68" s="75">
        <v>62</v>
      </c>
    </row>
    <row r="69" spans="1:15">
      <c r="A69" s="46" t="str">
        <f>'ERPs by country'!A76</f>
        <v>Ireland</v>
      </c>
      <c r="B69" s="126">
        <f t="shared" si="3"/>
        <v>84.5</v>
      </c>
      <c r="C69" s="24">
        <f>VLOOKUP(A69,Table1[[Country]:[Country Risk Premium]],5)</f>
        <v>5.6452209790575886E-2</v>
      </c>
      <c r="D69" s="24">
        <f>VLOOKUP(A69,Table1[[Country]:[Country Risk Premium]],4)</f>
        <v>5.7040677343264193E-3</v>
      </c>
      <c r="E69" s="24">
        <f t="shared" si="2"/>
        <v>5.6452209790575886E-2</v>
      </c>
      <c r="F69" s="57">
        <f>VLOOKUP(A69,'Country Tax Rates'!$A$2:$B$159,2)</f>
        <v>0.125</v>
      </c>
      <c r="G69" s="57">
        <f>VLOOKUP(A69,Table1[[Country]:[Country Risk Premium]],6)</f>
        <v>8.7522097905758829E-3</v>
      </c>
      <c r="H69" s="75"/>
      <c r="N69" s="156" t="s">
        <v>359</v>
      </c>
      <c r="O69" s="75">
        <v>51</v>
      </c>
    </row>
    <row r="70" spans="1:15">
      <c r="A70" s="46" t="str">
        <f>'ERPs by country'!A77</f>
        <v>Isle of Man</v>
      </c>
      <c r="B70" s="126" t="e">
        <f t="shared" si="3"/>
        <v>#N/A</v>
      </c>
      <c r="C70" s="24">
        <f>VLOOKUP(A70,Table1[[Country]:[Country Risk Premium]],5)</f>
        <v>5.6452209790575886E-2</v>
      </c>
      <c r="D70" s="24">
        <f>VLOOKUP(A70,Table1[[Country]:[Country Risk Premium]],4)</f>
        <v>5.7040677343264193E-3</v>
      </c>
      <c r="E70" s="24">
        <f t="shared" si="2"/>
        <v>5.6452209790575886E-2</v>
      </c>
      <c r="F70" s="57">
        <f>VLOOKUP(A70,'Country Tax Rates'!$A$2:$B$159,2)</f>
        <v>0</v>
      </c>
      <c r="G70" s="57">
        <f>VLOOKUP(A70,Table1[[Country]:[Country Risk Premium]],6)</f>
        <v>8.7522097905758829E-3</v>
      </c>
      <c r="H70" s="75"/>
      <c r="N70" s="156" t="s">
        <v>453</v>
      </c>
      <c r="O70" s="75">
        <v>81</v>
      </c>
    </row>
    <row r="71" spans="1:15">
      <c r="A71" s="46" t="str">
        <f>'ERPs by country'!A78</f>
        <v>Israel</v>
      </c>
      <c r="B71" s="126">
        <f t="shared" si="3"/>
        <v>74</v>
      </c>
      <c r="C71" s="24">
        <f>VLOOKUP(A71,Table1[[Country]:[Country Risk Premium]],5)</f>
        <v>7.1039226108202347E-2</v>
      </c>
      <c r="D71" s="24">
        <f>VLOOKUP(A71,Table1[[Country]:[Country Risk Premium]],4)</f>
        <v>1.5210847291537115E-2</v>
      </c>
      <c r="E71" s="24">
        <f t="shared" si="2"/>
        <v>7.1039226108202347E-2</v>
      </c>
      <c r="F71" s="57">
        <f>VLOOKUP(A71,'Country Tax Rates'!$A$2:$B$159,2)</f>
        <v>0.23</v>
      </c>
      <c r="G71" s="57">
        <f>VLOOKUP(A71,Table1[[Country]:[Country Risk Premium]],6)</f>
        <v>2.3339226108202347E-2</v>
      </c>
      <c r="H71" s="75"/>
      <c r="N71" s="156" t="s">
        <v>120</v>
      </c>
      <c r="O71" s="75">
        <v>80.25</v>
      </c>
    </row>
    <row r="72" spans="1:15">
      <c r="A72" s="46" t="str">
        <f>'ERPs by country'!A79</f>
        <v>Italy</v>
      </c>
      <c r="B72" s="126">
        <f t="shared" si="3"/>
        <v>76.75</v>
      </c>
      <c r="C72" s="24">
        <f>VLOOKUP(A72,Table1[[Country]:[Country Risk Premium]],5)</f>
        <v>7.5501136981829281E-2</v>
      </c>
      <c r="D72" s="24">
        <f>VLOOKUP(A72,Table1[[Country]:[Country Risk Premium]],4)</f>
        <v>1.8118803391389805E-2</v>
      </c>
      <c r="E72" s="24">
        <f t="shared" si="2"/>
        <v>7.5501136981829281E-2</v>
      </c>
      <c r="F72" s="57">
        <f>VLOOKUP(A72,'Country Tax Rates'!$A$2:$B$159,2)</f>
        <v>0.27810000000000001</v>
      </c>
      <c r="G72" s="57">
        <f>VLOOKUP(A72,Table1[[Country]:[Country Risk Premium]],6)</f>
        <v>2.7801136981829278E-2</v>
      </c>
      <c r="H72" s="75"/>
      <c r="N72" s="156" t="s">
        <v>121</v>
      </c>
      <c r="O72" s="75">
        <v>72</v>
      </c>
    </row>
    <row r="73" spans="1:15">
      <c r="A73" s="46" t="str">
        <f>'ERPs by country'!A80</f>
        <v>Jamaica</v>
      </c>
      <c r="B73" s="126">
        <f t="shared" si="3"/>
        <v>76.75</v>
      </c>
      <c r="C73" s="24">
        <f>VLOOKUP(A73,Table1[[Country]:[Country Risk Premium]],5)</f>
        <v>0.1002132587434553</v>
      </c>
      <c r="D73" s="24">
        <f>VLOOKUP(A73,Table1[[Country]:[Country Risk Premium]],4)</f>
        <v>3.4224406405958516E-2</v>
      </c>
      <c r="E73" s="24">
        <f t="shared" si="2"/>
        <v>0.1002132587434553</v>
      </c>
      <c r="F73" s="57">
        <f>VLOOKUP(A73,'Country Tax Rates'!$A$2:$B$159,2)</f>
        <v>0.25</v>
      </c>
      <c r="G73" s="57">
        <f>VLOOKUP(A73,Table1[[Country]:[Country Risk Premium]],6)</f>
        <v>5.2513258743455297E-2</v>
      </c>
      <c r="H73" s="75"/>
      <c r="N73" s="156" t="s">
        <v>122</v>
      </c>
      <c r="O73" s="75">
        <v>51.5</v>
      </c>
    </row>
    <row r="74" spans="1:15">
      <c r="A74" s="46" t="str">
        <f>'ERPs by country'!A81</f>
        <v>Japan</v>
      </c>
      <c r="B74" s="126">
        <f t="shared" si="3"/>
        <v>80.25</v>
      </c>
      <c r="C74" s="24">
        <f>VLOOKUP(A74,Table1[[Country]:[Country Risk Premium]],5)</f>
        <v>5.7996717400677508E-2</v>
      </c>
      <c r="D74" s="24">
        <f>VLOOKUP(A74,Table1[[Country]:[Country Risk Premium]],4)</f>
        <v>6.710667922736965E-3</v>
      </c>
      <c r="E74" s="24">
        <f t="shared" si="2"/>
        <v>5.7996717400677508E-2</v>
      </c>
      <c r="F74" s="57">
        <f>VLOOKUP(A74,'Country Tax Rates'!$A$2:$B$159,2)</f>
        <v>0.2974</v>
      </c>
      <c r="G74" s="57">
        <f>VLOOKUP(A74,Table1[[Country]:[Country Risk Premium]],6)</f>
        <v>1.0296717400677511E-2</v>
      </c>
      <c r="H74" s="75"/>
      <c r="N74" s="156" t="s">
        <v>310</v>
      </c>
      <c r="O74" s="75">
        <v>57.75</v>
      </c>
    </row>
    <row r="75" spans="1:15">
      <c r="A75" s="46" t="str">
        <f>'ERPs by country'!A82</f>
        <v>Jersey (States of)</v>
      </c>
      <c r="B75" s="126" t="e">
        <f t="shared" si="3"/>
        <v>#N/A</v>
      </c>
      <c r="C75" s="24">
        <f>VLOOKUP(A75,Table1[[Country]:[Country Risk Premium]],5)</f>
        <v>5.6452209790575886E-2</v>
      </c>
      <c r="D75" s="24">
        <f>VLOOKUP(A75,Table1[[Country]:[Country Risk Premium]],4)</f>
        <v>5.7040677343264193E-3</v>
      </c>
      <c r="E75" s="24">
        <f t="shared" si="2"/>
        <v>5.6452209790575886E-2</v>
      </c>
      <c r="F75" s="57">
        <f>VLOOKUP(A75,'Country Tax Rates'!$A$2:$B$159,2)</f>
        <v>0</v>
      </c>
      <c r="G75" s="57">
        <f>VLOOKUP(A75,Table1[[Country]:[Country Risk Premium]],6)</f>
        <v>8.7522097905758829E-3</v>
      </c>
      <c r="H75" s="75"/>
      <c r="N75" s="156" t="s">
        <v>314</v>
      </c>
      <c r="O75" s="75">
        <v>71.5</v>
      </c>
    </row>
    <row r="76" spans="1:15">
      <c r="A76" s="46" t="str">
        <f>'ERPs by country'!A83</f>
        <v>Jordan</v>
      </c>
      <c r="B76" s="126">
        <f t="shared" si="3"/>
        <v>65</v>
      </c>
      <c r="C76" s="24">
        <f>VLOOKUP(A76,Table1[[Country]:[Country Risk Premium]],5)</f>
        <v>0.1002132587434553</v>
      </c>
      <c r="D76" s="24">
        <f>VLOOKUP(A76,Table1[[Country]:[Country Risk Premium]],4)</f>
        <v>3.4224406405958516E-2</v>
      </c>
      <c r="E76" s="24">
        <f t="shared" si="2"/>
        <v>0.1002132587434553</v>
      </c>
      <c r="F76" s="57">
        <f>VLOOKUP(A76,'Country Tax Rates'!$A$2:$B$159,2)</f>
        <v>0.2</v>
      </c>
      <c r="G76" s="57">
        <f>VLOOKUP(A76,Table1[[Country]:[Country Risk Premium]],6)</f>
        <v>5.2513258743455297E-2</v>
      </c>
      <c r="H76" s="75"/>
      <c r="N76" s="156" t="s">
        <v>13</v>
      </c>
      <c r="O76" s="75">
        <v>74</v>
      </c>
    </row>
    <row r="77" spans="1:15">
      <c r="A77" s="46" t="str">
        <f>'ERPs by country'!A84</f>
        <v>Kazakhstan</v>
      </c>
      <c r="B77" s="126">
        <f t="shared" si="3"/>
        <v>74.75</v>
      </c>
      <c r="C77" s="24">
        <f>VLOOKUP(A77,Table1[[Country]:[Country Risk Premium]],5)</f>
        <v>7.1039226108202347E-2</v>
      </c>
      <c r="D77" s="24">
        <f>VLOOKUP(A77,Table1[[Country]:[Country Risk Premium]],4)</f>
        <v>1.5210847291537115E-2</v>
      </c>
      <c r="E77" s="24">
        <f t="shared" si="2"/>
        <v>7.1039226108202347E-2</v>
      </c>
      <c r="F77" s="57">
        <f>VLOOKUP(A77,'Country Tax Rates'!$A$2:$B$159,2)</f>
        <v>0.2</v>
      </c>
      <c r="G77" s="57">
        <f>VLOOKUP(A77,Table1[[Country]:[Country Risk Premium]],6)</f>
        <v>2.3339226108202347E-2</v>
      </c>
      <c r="H77" s="75"/>
      <c r="N77" s="156" t="s">
        <v>182</v>
      </c>
      <c r="O77" s="75">
        <v>84.75</v>
      </c>
    </row>
    <row r="78" spans="1:15">
      <c r="A78" s="46" t="str">
        <f>'ERPs by country'!A85</f>
        <v>Kenya</v>
      </c>
      <c r="B78" s="126">
        <f t="shared" si="3"/>
        <v>62</v>
      </c>
      <c r="C78" s="24">
        <f>VLOOKUP(A78,Table1[[Country]:[Country Risk Premium]],5)</f>
        <v>0.14260141204291102</v>
      </c>
      <c r="D78" s="24">
        <f>VLOOKUP(A78,Table1[[Country]:[Country Risk Premium]],4)</f>
        <v>6.1849989354559008E-2</v>
      </c>
      <c r="E78" s="24">
        <f t="shared" si="2"/>
        <v>0.14260141204291102</v>
      </c>
      <c r="F78" s="57">
        <f>VLOOKUP(A78,'Country Tax Rates'!$A$2:$B$159,2)</f>
        <v>0.3</v>
      </c>
      <c r="G78" s="57">
        <f>VLOOKUP(A78,Table1[[Country]:[Country Risk Premium]],6)</f>
        <v>9.4901412042911026E-2</v>
      </c>
      <c r="H78" s="75"/>
      <c r="N78" s="156" t="s">
        <v>328</v>
      </c>
      <c r="O78" s="75">
        <v>62.5</v>
      </c>
    </row>
    <row r="79" spans="1:15">
      <c r="A79" s="46" t="str">
        <f>'ERPs by country'!A86</f>
        <v>Korea</v>
      </c>
      <c r="B79" s="126" t="e">
        <f t="shared" si="3"/>
        <v>#N/A</v>
      </c>
      <c r="C79" s="24">
        <f>VLOOKUP(A79,Table1[[Country]:[Country Risk Premium]],5)</f>
        <v>5.4907702180474256E-2</v>
      </c>
      <c r="D79" s="24">
        <f>VLOOKUP(A79,Table1[[Country]:[Country Risk Premium]],4)</f>
        <v>4.6974675459158736E-3</v>
      </c>
      <c r="E79" s="24">
        <f t="shared" si="2"/>
        <v>5.4907702180474256E-2</v>
      </c>
      <c r="F79" s="57">
        <f>VLOOKUP(A79,'Country Tax Rates'!$A$2:$B$159,2)</f>
        <v>0.26400000000000001</v>
      </c>
      <c r="G79" s="57">
        <f>VLOOKUP(A79,Table1[[Country]:[Country Risk Premium]],6)</f>
        <v>7.2077021804742543E-3</v>
      </c>
      <c r="H79" s="75"/>
      <c r="N79" s="156" t="s">
        <v>319</v>
      </c>
      <c r="O79" s="75">
        <v>56</v>
      </c>
    </row>
    <row r="80" spans="1:15">
      <c r="A80" s="46" t="str">
        <f>'ERPs by country'!A87</f>
        <v>Kuwait</v>
      </c>
      <c r="B80" s="126">
        <f t="shared" si="3"/>
        <v>80.25</v>
      </c>
      <c r="C80" s="24">
        <f>VLOOKUP(A80,Table1[[Country]:[Country Risk Premium]],5)</f>
        <v>5.7996717400677508E-2</v>
      </c>
      <c r="D80" s="24">
        <f>VLOOKUP(A80,Table1[[Country]:[Country Risk Premium]],4)</f>
        <v>6.710667922736965E-3</v>
      </c>
      <c r="E80" s="24">
        <f t="shared" si="2"/>
        <v>5.7996717400677508E-2</v>
      </c>
      <c r="F80" s="57">
        <f>VLOOKUP(A80,'Country Tax Rates'!$A$2:$B$159,2)</f>
        <v>0.15</v>
      </c>
      <c r="G80" s="57">
        <f>VLOOKUP(A80,Table1[[Country]:[Country Risk Premium]],6)</f>
        <v>1.0296717400677511E-2</v>
      </c>
      <c r="H80" s="75"/>
      <c r="N80" s="156" t="s">
        <v>14</v>
      </c>
      <c r="O80" s="75">
        <v>75.25</v>
      </c>
    </row>
    <row r="81" spans="1:15">
      <c r="A81" s="46" t="str">
        <f>'ERPs by country'!A88</f>
        <v>Kyrgyzstan</v>
      </c>
      <c r="B81" s="126" t="e">
        <f t="shared" si="3"/>
        <v>#N/A</v>
      </c>
      <c r="C81" s="24">
        <f>VLOOKUP(A81,Table1[[Country]:[Country Risk Premium]],5)</f>
        <v>0.14260141204291102</v>
      </c>
      <c r="D81" s="24">
        <f>VLOOKUP(A81,Table1[[Country]:[Country Risk Premium]],4)</f>
        <v>6.1849989354559008E-2</v>
      </c>
      <c r="E81" s="24">
        <f t="shared" si="2"/>
        <v>0.14260141204291102</v>
      </c>
      <c r="F81" s="57">
        <f>VLOOKUP(A81,'Country Tax Rates'!$A$2:$B$159,2)</f>
        <v>0.1</v>
      </c>
      <c r="G81" s="57">
        <f>VLOOKUP(A81,Table1[[Country]:[Country Risk Premium]],6)</f>
        <v>9.4901412042911026E-2</v>
      </c>
      <c r="H81" s="75"/>
      <c r="N81" s="156" t="s">
        <v>317</v>
      </c>
      <c r="O81" s="75">
        <v>57.75</v>
      </c>
    </row>
    <row r="82" spans="1:15">
      <c r="A82" s="46" t="str">
        <f>'ERPs by country'!A89</f>
        <v>Laos</v>
      </c>
      <c r="B82" s="126" t="e">
        <f t="shared" si="3"/>
        <v>#N/A</v>
      </c>
      <c r="C82" s="24">
        <f>VLOOKUP(A82,Table1[[Country]:[Country Risk Premium]],5)</f>
        <v>0.17915475881531617</v>
      </c>
      <c r="D82" s="24">
        <f>VLOOKUP(A82,Table1[[Country]:[Country Risk Premium]],4)</f>
        <v>8.5672860480275226E-2</v>
      </c>
      <c r="E82" s="24">
        <f t="shared" si="2"/>
        <v>0.17915475881531617</v>
      </c>
      <c r="F82" s="57">
        <f>VLOOKUP(A82,'Country Tax Rates'!$A$2:$B$159,2)</f>
        <v>0.2</v>
      </c>
      <c r="G82" s="57">
        <f>VLOOKUP(A82,Table1[[Country]:[Country Risk Premium]],6)</f>
        <v>0.13145475881531618</v>
      </c>
      <c r="H82" s="75"/>
      <c r="N82" s="156" t="s">
        <v>183</v>
      </c>
      <c r="O82" s="75">
        <v>76.5</v>
      </c>
    </row>
    <row r="83" spans="1:15">
      <c r="A83" s="46" t="str">
        <f>'ERPs by country'!A90</f>
        <v>Latvia</v>
      </c>
      <c r="B83" s="126">
        <f t="shared" si="3"/>
        <v>72</v>
      </c>
      <c r="C83" s="24">
        <f>VLOOKUP(A83,Table1[[Country]:[Country Risk Premium]],5)</f>
        <v>6.5204419581151765E-2</v>
      </c>
      <c r="D83" s="24">
        <f>VLOOKUP(A83,Table1[[Country]:[Country Risk Premium]],4)</f>
        <v>1.1408135468652839E-2</v>
      </c>
      <c r="E83" s="24">
        <f t="shared" si="2"/>
        <v>6.5204419581151765E-2</v>
      </c>
      <c r="F83" s="57">
        <f>VLOOKUP(A83,'Country Tax Rates'!$A$2:$B$159,2)</f>
        <v>0.2</v>
      </c>
      <c r="G83" s="57">
        <f>VLOOKUP(A83,Table1[[Country]:[Country Risk Premium]],6)</f>
        <v>1.7504419581151766E-2</v>
      </c>
      <c r="H83" s="75"/>
      <c r="N83" s="156" t="s">
        <v>16</v>
      </c>
      <c r="O83" s="75">
        <v>69</v>
      </c>
    </row>
    <row r="84" spans="1:15">
      <c r="A84" s="46" t="str">
        <f>'ERPs by country'!A91</f>
        <v>Lebanon</v>
      </c>
      <c r="B84" s="126">
        <f t="shared" si="3"/>
        <v>51.5</v>
      </c>
      <c r="C84" s="24">
        <f>VLOOKUP(A84,Table1[[Country]:[Country Risk Premium]],5)</f>
        <v>0.31621657180253437</v>
      </c>
      <c r="D84" s="24">
        <f>VLOOKUP(A84,Table1[[Country]:[Country Risk Premium]],4)</f>
        <v>0.17499999999999999</v>
      </c>
      <c r="E84" s="24">
        <f t="shared" si="2"/>
        <v>0.31621657180253437</v>
      </c>
      <c r="F84" s="57">
        <f>VLOOKUP(A84,'Country Tax Rates'!$A$2:$B$159,2)</f>
        <v>0.17</v>
      </c>
      <c r="G84" s="57">
        <f>VLOOKUP(A84,Table1[[Country]:[Country Risk Premium]],6)</f>
        <v>0.26851657180253435</v>
      </c>
      <c r="H84" s="75"/>
      <c r="N84" s="156" t="s">
        <v>17</v>
      </c>
      <c r="O84" s="75">
        <v>64.5</v>
      </c>
    </row>
    <row r="85" spans="1:15">
      <c r="A85" s="46" t="str">
        <f>'ERPs by country'!A92</f>
        <v>Liechtenstein</v>
      </c>
      <c r="B85" s="126" t="e">
        <f t="shared" si="3"/>
        <v>#N/A</v>
      </c>
      <c r="C85" s="24">
        <f>VLOOKUP(A85,Table1[[Country]:[Country Risk Premium]],5)</f>
        <v>4.7699999999999999E-2</v>
      </c>
      <c r="D85" s="24">
        <f>VLOOKUP(A85,Table1[[Country]:[Country Risk Premium]],4)</f>
        <v>0</v>
      </c>
      <c r="E85" s="24">
        <f t="shared" si="2"/>
        <v>4.7699999999999999E-2</v>
      </c>
      <c r="F85" s="57">
        <f>VLOOKUP(A85,'Country Tax Rates'!$A$2:$B$159,2)</f>
        <v>0.125</v>
      </c>
      <c r="G85" s="57">
        <f>VLOOKUP(A85,Table1[[Country]:[Country Risk Premium]],6)</f>
        <v>0</v>
      </c>
      <c r="H85" s="75"/>
      <c r="N85" s="156" t="s">
        <v>63</v>
      </c>
      <c r="O85" s="75">
        <v>71.25</v>
      </c>
    </row>
    <row r="86" spans="1:15">
      <c r="A86" s="46" t="str">
        <f>'ERPs by country'!A93</f>
        <v>Lithuania</v>
      </c>
      <c r="B86" s="126">
        <f t="shared" si="3"/>
        <v>74</v>
      </c>
      <c r="C86" s="24">
        <f>VLOOKUP(A86,Table1[[Country]:[Country Risk Premium]],5)</f>
        <v>6.0056060880813007E-2</v>
      </c>
      <c r="D86" s="24">
        <f>VLOOKUP(A86,Table1[[Country]:[Country Risk Premium]],4)</f>
        <v>8.0528015072843552E-3</v>
      </c>
      <c r="E86" s="24">
        <f t="shared" si="2"/>
        <v>6.0056060880813007E-2</v>
      </c>
      <c r="F86" s="57">
        <f>VLOOKUP(A86,'Country Tax Rates'!$A$2:$B$159,2)</f>
        <v>0.15</v>
      </c>
      <c r="G86" s="57">
        <f>VLOOKUP(A86,Table1[[Country]:[Country Risk Premium]],6)</f>
        <v>1.2356060880813008E-2</v>
      </c>
      <c r="H86" s="75"/>
      <c r="N86" s="156" t="s">
        <v>18</v>
      </c>
      <c r="O86" s="75">
        <v>72.25</v>
      </c>
    </row>
    <row r="87" spans="1:15">
      <c r="A87" s="46" t="str">
        <f>'ERPs by country'!A94</f>
        <v>Luxembourg</v>
      </c>
      <c r="B87" s="126">
        <f t="shared" si="3"/>
        <v>84.75</v>
      </c>
      <c r="C87" s="24">
        <f>VLOOKUP(A87,Table1[[Country]:[Country Risk Premium]],5)</f>
        <v>4.7699999999999999E-2</v>
      </c>
      <c r="D87" s="24">
        <f>VLOOKUP(A87,Table1[[Country]:[Country Risk Premium]],4)</f>
        <v>0</v>
      </c>
      <c r="E87" s="24">
        <f t="shared" si="2"/>
        <v>4.7699999999999999E-2</v>
      </c>
      <c r="F87" s="57">
        <f>VLOOKUP(A87,'Country Tax Rates'!$A$2:$B$159,2)</f>
        <v>0.24940000000000001</v>
      </c>
      <c r="G87" s="57">
        <f>VLOOKUP(A87,Table1[[Country]:[Country Risk Premium]],6)</f>
        <v>0</v>
      </c>
      <c r="H87" s="75"/>
      <c r="N87" s="156" t="s">
        <v>223</v>
      </c>
      <c r="O87" s="75">
        <v>57</v>
      </c>
    </row>
    <row r="88" spans="1:15">
      <c r="A88" s="46" t="str">
        <f>'ERPs by country'!A95</f>
        <v>Macao</v>
      </c>
      <c r="B88" s="126" t="e">
        <f t="shared" si="3"/>
        <v>#N/A</v>
      </c>
      <c r="C88" s="24">
        <f>VLOOKUP(A88,Table1[[Country]:[Country Risk Premium]],5)</f>
        <v>5.6452209790575886E-2</v>
      </c>
      <c r="D88" s="24">
        <f>VLOOKUP(A88,Table1[[Country]:[Country Risk Premium]],4)</f>
        <v>5.7040677343264193E-3</v>
      </c>
      <c r="E88" s="24">
        <f t="shared" si="2"/>
        <v>5.6452209790575886E-2</v>
      </c>
      <c r="F88" s="57">
        <f>VLOOKUP(A88,'Country Tax Rates'!$A$2:$B$159,2)</f>
        <v>0.25</v>
      </c>
      <c r="G88" s="57">
        <f>VLOOKUP(A88,Table1[[Country]:[Country Risk Premium]],6)</f>
        <v>8.7522097905758829E-3</v>
      </c>
      <c r="H88" s="75"/>
      <c r="N88" s="156" t="s">
        <v>327</v>
      </c>
      <c r="O88" s="75">
        <v>54.75</v>
      </c>
    </row>
    <row r="89" spans="1:15">
      <c r="A89" s="46" t="str">
        <f>'ERPs by country'!A96</f>
        <v>Macedonia</v>
      </c>
      <c r="B89" s="126" t="e">
        <f t="shared" si="3"/>
        <v>#N/A</v>
      </c>
      <c r="C89" s="24">
        <f>VLOOKUP(A89,Table1[[Country]:[Country Risk Premium]],5)</f>
        <v>0.1002132587434553</v>
      </c>
      <c r="D89" s="24">
        <f>VLOOKUP(A89,Table1[[Country]:[Country Risk Premium]],4)</f>
        <v>3.4224406405958516E-2</v>
      </c>
      <c r="E89" s="24">
        <f t="shared" si="2"/>
        <v>0.1002132587434553</v>
      </c>
      <c r="F89" s="57">
        <f>VLOOKUP(A89,'Country Tax Rates'!$A$2:$B$159,2)</f>
        <v>0.1</v>
      </c>
      <c r="G89" s="57">
        <f>VLOOKUP(A89,Table1[[Country]:[Country Risk Premium]],6)</f>
        <v>5.2513258743455297E-2</v>
      </c>
      <c r="H89" s="75"/>
      <c r="N89" s="156" t="s">
        <v>136</v>
      </c>
      <c r="O89" s="75">
        <v>70.75</v>
      </c>
    </row>
    <row r="90" spans="1:15">
      <c r="A90" s="46" t="str">
        <f>'ERPs by country'!A97</f>
        <v>Malaysia</v>
      </c>
      <c r="B90" s="126">
        <f t="shared" si="3"/>
        <v>75.25</v>
      </c>
      <c r="C90" s="24">
        <f>VLOOKUP(A90,Table1[[Country]:[Country Risk Premium]],5)</f>
        <v>6.5204419581151765E-2</v>
      </c>
      <c r="D90" s="24">
        <f>VLOOKUP(A90,Table1[[Country]:[Country Risk Premium]],4)</f>
        <v>1.1408135468652839E-2</v>
      </c>
      <c r="E90" s="24">
        <f t="shared" si="2"/>
        <v>6.5204419581151765E-2</v>
      </c>
      <c r="F90" s="57">
        <f>VLOOKUP(A90,'Country Tax Rates'!$A$2:$B$159,2)</f>
        <v>0.24</v>
      </c>
      <c r="G90" s="57">
        <f>VLOOKUP(A90,Table1[[Country]:[Country Risk Premium]],6)</f>
        <v>1.7504419581151766E-2</v>
      </c>
      <c r="H90" s="75"/>
      <c r="N90" s="156" t="s">
        <v>184</v>
      </c>
      <c r="O90" s="75">
        <v>81.5</v>
      </c>
    </row>
    <row r="91" spans="1:15">
      <c r="A91" s="46" t="str">
        <f>'ERPs by country'!A98</f>
        <v>Maldives</v>
      </c>
      <c r="B91" s="126" t="e">
        <f t="shared" si="3"/>
        <v>#N/A</v>
      </c>
      <c r="C91" s="24">
        <f>VLOOKUP(A91,Table1[[Country]:[Country Risk Premium]],5)</f>
        <v>0.17915475881531617</v>
      </c>
      <c r="D91" s="24">
        <f>VLOOKUP(A91,Table1[[Country]:[Country Risk Premium]],4)</f>
        <v>8.5672860480275226E-2</v>
      </c>
      <c r="E91" s="24">
        <f t="shared" si="2"/>
        <v>0.17915475881531617</v>
      </c>
      <c r="F91" s="57">
        <f>VLOOKUP(A91,'Country Tax Rates'!$A$2:$B$159,2)</f>
        <v>0.15</v>
      </c>
      <c r="G91" s="57">
        <f>VLOOKUP(A91,Table1[[Country]:[Country Risk Premium]],6)</f>
        <v>0.13145475881531618</v>
      </c>
      <c r="H91" s="75"/>
      <c r="N91" s="156" t="s">
        <v>21</v>
      </c>
      <c r="O91" s="75">
        <v>78.5</v>
      </c>
    </row>
    <row r="92" spans="1:15">
      <c r="A92" s="46" t="str">
        <f>'ERPs by country'!A99</f>
        <v>Mali</v>
      </c>
      <c r="B92" s="126">
        <f t="shared" si="3"/>
        <v>57.75</v>
      </c>
      <c r="C92" s="24">
        <f>VLOOKUP(A92,Table1[[Country]:[Country Risk Premium]],5)</f>
        <v>0.17915475881531617</v>
      </c>
      <c r="D92" s="24">
        <f>VLOOKUP(A92,Table1[[Country]:[Country Risk Premium]],4)</f>
        <v>8.5672860480275226E-2</v>
      </c>
      <c r="E92" s="24">
        <f t="shared" si="2"/>
        <v>0.17915475881531617</v>
      </c>
      <c r="F92" s="57">
        <f>VLOOKUP(A92,'Country Tax Rates'!$A$2:$B$159,2)</f>
        <v>0.3</v>
      </c>
      <c r="G92" s="57">
        <f>VLOOKUP(A92,Table1[[Country]:[Country Risk Premium]],6)</f>
        <v>0.13145475881531618</v>
      </c>
      <c r="H92" s="75"/>
      <c r="N92" s="156" t="s">
        <v>22</v>
      </c>
      <c r="O92" s="75">
        <v>70.25</v>
      </c>
    </row>
    <row r="93" spans="1:15">
      <c r="A93" s="46" t="str">
        <f>'ERPs by country'!A100</f>
        <v>Malta</v>
      </c>
      <c r="B93" s="126">
        <f t="shared" si="3"/>
        <v>76.5</v>
      </c>
      <c r="C93" s="24">
        <f>VLOOKUP(A93,Table1[[Country]:[Country Risk Premium]],5)</f>
        <v>6.0056060880813007E-2</v>
      </c>
      <c r="D93" s="24">
        <f>VLOOKUP(A93,Table1[[Country]:[Country Risk Premium]],4)</f>
        <v>8.0528015072843552E-3</v>
      </c>
      <c r="E93" s="24">
        <f t="shared" si="2"/>
        <v>6.0056060880813007E-2</v>
      </c>
      <c r="F93" s="57">
        <f>VLOOKUP(A93,'Country Tax Rates'!$A$2:$B$159,2)</f>
        <v>0.35</v>
      </c>
      <c r="G93" s="57">
        <f>VLOOKUP(A93,Table1[[Country]:[Country Risk Premium]],6)</f>
        <v>1.2356060880813008E-2</v>
      </c>
      <c r="H93" s="75"/>
      <c r="N93" s="156" t="s">
        <v>313</v>
      </c>
      <c r="O93" s="75">
        <v>56</v>
      </c>
    </row>
    <row r="94" spans="1:15">
      <c r="A94" s="46" t="str">
        <f>'ERPs by country'!A101</f>
        <v>Mauritius</v>
      </c>
      <c r="B94" s="126" t="e">
        <f t="shared" si="3"/>
        <v>#N/A</v>
      </c>
      <c r="C94" s="24">
        <f>VLOOKUP(A94,Table1[[Country]:[Country Risk Premium]],5)</f>
        <v>7.979143589877824E-2</v>
      </c>
      <c r="D94" s="24">
        <f>VLOOKUP(A94,Table1[[Country]:[Country Risk Premium]],4)</f>
        <v>2.091491502586354E-2</v>
      </c>
      <c r="E94" s="24">
        <f t="shared" si="2"/>
        <v>7.979143589877824E-2</v>
      </c>
      <c r="F94" s="57">
        <f>VLOOKUP(A94,'Country Tax Rates'!$A$2:$B$159,2)</f>
        <v>0.15</v>
      </c>
      <c r="G94" s="57">
        <f>VLOOKUP(A94,Table1[[Country]:[Country Risk Premium]],6)</f>
        <v>3.2091435898778241E-2</v>
      </c>
      <c r="H94" s="75"/>
      <c r="N94" s="156" t="s">
        <v>185</v>
      </c>
      <c r="O94" s="75">
        <v>61.25</v>
      </c>
    </row>
    <row r="95" spans="1:15">
      <c r="A95" s="46" t="str">
        <f>'ERPs by country'!A102</f>
        <v>Mexico</v>
      </c>
      <c r="B95" s="126">
        <f t="shared" si="3"/>
        <v>69</v>
      </c>
      <c r="C95" s="24">
        <f>VLOOKUP(A95,Table1[[Country]:[Country Risk Premium]],5)</f>
        <v>7.5501136981829281E-2</v>
      </c>
      <c r="D95" s="24">
        <f>VLOOKUP(A95,Table1[[Country]:[Country Risk Premium]],4)</f>
        <v>1.8118803391389805E-2</v>
      </c>
      <c r="E95" s="24">
        <f t="shared" si="2"/>
        <v>7.5501136981829281E-2</v>
      </c>
      <c r="F95" s="57">
        <f>VLOOKUP(A95,'Country Tax Rates'!$A$2:$B$159,2)</f>
        <v>0.3</v>
      </c>
      <c r="G95" s="57">
        <f>VLOOKUP(A95,Table1[[Country]:[Country Risk Premium]],6)</f>
        <v>2.7801136981829278E-2</v>
      </c>
      <c r="H95" s="75"/>
      <c r="N95" s="156" t="s">
        <v>23</v>
      </c>
      <c r="O95" s="75">
        <v>87.75</v>
      </c>
    </row>
    <row r="96" spans="1:15">
      <c r="A96" s="46" t="str">
        <f>'ERPs by country'!A103</f>
        <v>Moldova</v>
      </c>
      <c r="B96" s="126">
        <f t="shared" si="3"/>
        <v>64.5</v>
      </c>
      <c r="C96" s="24">
        <f>VLOOKUP(A96,Table1[[Country]:[Country Risk Premium]],5)</f>
        <v>0.14260141204291102</v>
      </c>
      <c r="D96" s="24">
        <f>VLOOKUP(A96,Table1[[Country]:[Country Risk Premium]],4)</f>
        <v>6.1849989354559008E-2</v>
      </c>
      <c r="E96" s="24">
        <f t="shared" si="2"/>
        <v>0.14260141204291102</v>
      </c>
      <c r="F96" s="57">
        <f>VLOOKUP(A96,'Country Tax Rates'!$A$2:$B$159,2)</f>
        <v>0.12</v>
      </c>
      <c r="G96" s="57">
        <f>VLOOKUP(A96,Table1[[Country]:[Country Risk Premium]],6)</f>
        <v>9.4901412042911026E-2</v>
      </c>
      <c r="H96" s="75"/>
      <c r="N96" s="156" t="s">
        <v>24</v>
      </c>
      <c r="O96" s="75">
        <v>78.5</v>
      </c>
    </row>
    <row r="97" spans="1:15">
      <c r="A97" s="46" t="str">
        <f>'ERPs by country'!A104</f>
        <v>Mongolia</v>
      </c>
      <c r="B97" s="126">
        <f t="shared" si="3"/>
        <v>71.25</v>
      </c>
      <c r="C97" s="24">
        <f>VLOOKUP(A97,Table1[[Country]:[Country Risk Premium]],5)</f>
        <v>0.1134273794076581</v>
      </c>
      <c r="D97" s="24">
        <f>VLOOKUP(A97,Table1[[Country]:[Country Risk Premium]],4)</f>
        <v>4.2836430240137613E-2</v>
      </c>
      <c r="E97" s="24">
        <f t="shared" si="2"/>
        <v>0.1134273794076581</v>
      </c>
      <c r="F97" s="57">
        <f>VLOOKUP(A97,'Country Tax Rates'!$A$2:$B$159,2)</f>
        <v>0.25</v>
      </c>
      <c r="G97" s="57">
        <f>VLOOKUP(A97,Table1[[Country]:[Country Risk Premium]],6)</f>
        <v>6.572737940765809E-2</v>
      </c>
      <c r="H97" s="75"/>
      <c r="N97" s="156" t="s">
        <v>25</v>
      </c>
      <c r="O97" s="75">
        <v>58.25</v>
      </c>
    </row>
    <row r="98" spans="1:15">
      <c r="A98" s="46" t="str">
        <f>'ERPs by country'!A105</f>
        <v>Montenegro</v>
      </c>
      <c r="B98" s="126" t="e">
        <f t="shared" si="3"/>
        <v>#N/A</v>
      </c>
      <c r="C98" s="24">
        <f>VLOOKUP(A98,Table1[[Country]:[Country Risk Premium]],5)</f>
        <v>0.1134273794076581</v>
      </c>
      <c r="D98" s="24">
        <f>VLOOKUP(A98,Table1[[Country]:[Country Risk Premium]],4)</f>
        <v>4.2836430240137613E-2</v>
      </c>
      <c r="E98" s="24">
        <f t="shared" si="2"/>
        <v>0.1134273794076581</v>
      </c>
      <c r="F98" s="57">
        <f>VLOOKUP(A98,'Country Tax Rates'!$A$2:$B$159,2)</f>
        <v>0.15</v>
      </c>
      <c r="G98" s="57">
        <f>VLOOKUP(A98,Table1[[Country]:[Country Risk Premium]],6)</f>
        <v>6.572737940765809E-2</v>
      </c>
      <c r="H98" s="75"/>
      <c r="N98" s="156" t="s">
        <v>26</v>
      </c>
      <c r="O98" s="75">
        <v>70.5</v>
      </c>
    </row>
    <row r="99" spans="1:15">
      <c r="A99" s="46" t="str">
        <f>'ERPs by country'!A106</f>
        <v>Montserrat</v>
      </c>
      <c r="B99" s="126" t="e">
        <f t="shared" si="3"/>
        <v>#N/A</v>
      </c>
      <c r="C99" s="24">
        <f>VLOOKUP(A99,Table1[[Country]:[Country Risk Premium]],5)</f>
        <v>7.979143589877824E-2</v>
      </c>
      <c r="D99" s="24">
        <f>VLOOKUP(A99,Table1[[Country]:[Country Risk Premium]],4)</f>
        <v>2.091491502586354E-2</v>
      </c>
      <c r="E99" s="24">
        <f t="shared" si="2"/>
        <v>7.979143589877824E-2</v>
      </c>
      <c r="F99" s="57">
        <f>VLOOKUP(A99,'Country Tax Rates'!$A$2:$B$159,2)</f>
        <v>0.3</v>
      </c>
      <c r="G99" s="57">
        <f>VLOOKUP(A99,Table1[[Country]:[Country Risk Premium]],6)</f>
        <v>3.2091435898778241E-2</v>
      </c>
      <c r="H99" s="75"/>
      <c r="N99" s="156" t="s">
        <v>9</v>
      </c>
      <c r="O99" s="75">
        <v>70</v>
      </c>
    </row>
    <row r="100" spans="1:15">
      <c r="A100" s="46" t="str">
        <f>'ERPs by country'!A107</f>
        <v>Morocco</v>
      </c>
      <c r="B100" s="126">
        <f t="shared" si="3"/>
        <v>72.25</v>
      </c>
      <c r="C100" s="24">
        <f>VLOOKUP(A100,Table1[[Country]:[Country Risk Premium]],5)</f>
        <v>8.425334677240516E-2</v>
      </c>
      <c r="D100" s="24">
        <f>VLOOKUP(A100,Table1[[Country]:[Country Risk Premium]],4)</f>
        <v>2.3822871125716225E-2</v>
      </c>
      <c r="E100" s="24">
        <f t="shared" si="2"/>
        <v>8.425334677240516E-2</v>
      </c>
      <c r="F100" s="57">
        <f>VLOOKUP(A100,'Country Tax Rates'!$A$2:$B$159,2)</f>
        <v>0.33</v>
      </c>
      <c r="G100" s="57">
        <f>VLOOKUP(A100,Table1[[Country]:[Country Risk Premium]],6)</f>
        <v>3.6553346772405161E-2</v>
      </c>
      <c r="H100" s="75"/>
      <c r="N100" s="156" t="s">
        <v>27</v>
      </c>
      <c r="O100" s="75">
        <v>70.75</v>
      </c>
    </row>
    <row r="101" spans="1:15">
      <c r="A101" s="46" t="str">
        <f>'ERPs by country'!A108</f>
        <v>Mozambique</v>
      </c>
      <c r="B101" s="126">
        <f t="shared" si="3"/>
        <v>57</v>
      </c>
      <c r="C101" s="24">
        <f>VLOOKUP(A101,Table1[[Country]:[Country Risk Premium]],5)</f>
        <v>0.19374177513294266</v>
      </c>
      <c r="D101" s="24">
        <f>VLOOKUP(A101,Table1[[Country]:[Country Risk Premium]],4)</f>
        <v>9.5179640037485941E-2</v>
      </c>
      <c r="E101" s="24">
        <f t="shared" si="2"/>
        <v>0.19374177513294266</v>
      </c>
      <c r="F101" s="57">
        <f>VLOOKUP(A101,'Country Tax Rates'!$A$2:$B$159,2)</f>
        <v>0.32</v>
      </c>
      <c r="G101" s="57">
        <f>VLOOKUP(A101,Table1[[Country]:[Country Risk Premium]],6)</f>
        <v>0.14604177513294267</v>
      </c>
      <c r="H101" s="75"/>
      <c r="N101" s="156" t="s">
        <v>28</v>
      </c>
      <c r="O101" s="75">
        <v>69.75</v>
      </c>
    </row>
    <row r="102" spans="1:15">
      <c r="A102" s="46" t="str">
        <f>'ERPs by country'!A109</f>
        <v>Namibia</v>
      </c>
      <c r="B102" s="126">
        <f t="shared" si="3"/>
        <v>70.75</v>
      </c>
      <c r="C102" s="24">
        <f>VLOOKUP(A102,Table1[[Country]:[Country Risk Premium]],5)</f>
        <v>0.1134273794076581</v>
      </c>
      <c r="D102" s="24">
        <f>VLOOKUP(A102,Table1[[Country]:[Country Risk Premium]],4)</f>
        <v>4.2836430240137613E-2</v>
      </c>
      <c r="E102" s="24">
        <f t="shared" si="2"/>
        <v>0.1134273794076581</v>
      </c>
      <c r="F102" s="57">
        <f>VLOOKUP(A102,'Country Tax Rates'!$A$2:$B$159,2)</f>
        <v>0.32</v>
      </c>
      <c r="G102" s="57">
        <f>VLOOKUP(A102,Table1[[Country]:[Country Risk Premium]],6)</f>
        <v>6.572737940765809E-2</v>
      </c>
      <c r="H102" s="75"/>
      <c r="N102" s="156" t="s">
        <v>29</v>
      </c>
      <c r="O102" s="75">
        <v>70</v>
      </c>
    </row>
    <row r="103" spans="1:15">
      <c r="A103" s="46" t="s">
        <v>369</v>
      </c>
      <c r="B103" s="126" t="e">
        <f t="shared" ref="B103" si="4">VLOOKUP(A103,$N$2:$O$142,2,FALSE)</f>
        <v>#N/A</v>
      </c>
      <c r="C103" s="24">
        <f>VLOOKUP(A103,Table1[[Country]:[Country Risk Premium]],5)</f>
        <v>0.1002132587434553</v>
      </c>
      <c r="D103" s="24">
        <f>VLOOKUP(A103,Table1[[Country]:[Country Risk Premium]],4)</f>
        <v>3.4224406405958516E-2</v>
      </c>
      <c r="E103" s="24">
        <f t="shared" si="2"/>
        <v>0.1002132587434553</v>
      </c>
      <c r="F103" s="57">
        <f>VLOOKUP(A103,'Country Tax Rates'!$A$2:$B$159,2)</f>
        <v>0.25</v>
      </c>
      <c r="G103" s="57">
        <f>VLOOKUP(A103,Table1[[Country]:[Country Risk Premium]],6)</f>
        <v>5.2513258743455297E-2</v>
      </c>
      <c r="H103" s="75"/>
      <c r="N103" s="156" t="s">
        <v>30</v>
      </c>
      <c r="O103" s="75">
        <v>74</v>
      </c>
    </row>
    <row r="104" spans="1:15">
      <c r="A104" s="46" t="str">
        <f>'ERPs by country'!A111</f>
        <v>Netherlands</v>
      </c>
      <c r="B104" s="126">
        <f t="shared" si="3"/>
        <v>81.5</v>
      </c>
      <c r="C104" s="24">
        <f>VLOOKUP(A104,Table1[[Country]:[Country Risk Premium]],5)</f>
        <v>4.7699999999999999E-2</v>
      </c>
      <c r="D104" s="24">
        <f>VLOOKUP(A104,Table1[[Country]:[Country Risk Premium]],4)</f>
        <v>0</v>
      </c>
      <c r="E104" s="24">
        <f t="shared" si="2"/>
        <v>4.7699999999999999E-2</v>
      </c>
      <c r="F104" s="57">
        <f>VLOOKUP(A104,'Country Tax Rates'!$A$2:$B$159,2)</f>
        <v>0.25800000000000001</v>
      </c>
      <c r="G104" s="57">
        <f>VLOOKUP(A104,Table1[[Country]:[Country Risk Premium]],6)</f>
        <v>0</v>
      </c>
      <c r="H104" s="75"/>
      <c r="N104" s="156" t="s">
        <v>186</v>
      </c>
      <c r="O104" s="75">
        <v>78.25</v>
      </c>
    </row>
    <row r="105" spans="1:15">
      <c r="A105" s="46" t="str">
        <f>'ERPs by country'!A112</f>
        <v>New Zealand</v>
      </c>
      <c r="B105" s="126">
        <f t="shared" si="3"/>
        <v>78.5</v>
      </c>
      <c r="C105" s="24">
        <f>VLOOKUP(A105,Table1[[Country]:[Country Risk Premium]],5)</f>
        <v>4.7699999999999999E-2</v>
      </c>
      <c r="D105" s="24">
        <f>VLOOKUP(A105,Table1[[Country]:[Country Risk Premium]],4)</f>
        <v>0</v>
      </c>
      <c r="E105" s="24">
        <f t="shared" si="2"/>
        <v>4.7699999999999999E-2</v>
      </c>
      <c r="F105" s="57">
        <f>VLOOKUP(A105,'Country Tax Rates'!$A$2:$B$159,2)</f>
        <v>0.28000000000000003</v>
      </c>
      <c r="G105" s="57">
        <f>VLOOKUP(A105,Table1[[Country]:[Country Risk Premium]],6)</f>
        <v>0</v>
      </c>
      <c r="H105" s="75"/>
      <c r="N105" s="156" t="s">
        <v>74</v>
      </c>
      <c r="O105" s="75">
        <v>80.25</v>
      </c>
    </row>
    <row r="106" spans="1:15">
      <c r="A106" s="46" t="str">
        <f>'ERPs by country'!A113</f>
        <v>Nicaragua</v>
      </c>
      <c r="B106" s="126">
        <f t="shared" si="3"/>
        <v>70.25</v>
      </c>
      <c r="C106" s="24">
        <f>VLOOKUP(A106,Table1[[Country]:[Country Risk Premium]],5)</f>
        <v>0.12801439572528456</v>
      </c>
      <c r="D106" s="24">
        <f>VLOOKUP(A106,Table1[[Country]:[Country Risk Premium]],4)</f>
        <v>5.2343209797348314E-2</v>
      </c>
      <c r="E106" s="24">
        <f t="shared" si="2"/>
        <v>0.12801439572528456</v>
      </c>
      <c r="F106" s="57">
        <f>VLOOKUP(A106,'Country Tax Rates'!$A$2:$B$159,2)</f>
        <v>0.3</v>
      </c>
      <c r="G106" s="57">
        <f>VLOOKUP(A106,Table1[[Country]:[Country Risk Premium]],6)</f>
        <v>8.0314395725284565E-2</v>
      </c>
      <c r="H106" s="75"/>
      <c r="N106" s="156" t="s">
        <v>0</v>
      </c>
      <c r="O106" s="75">
        <v>67.25</v>
      </c>
    </row>
    <row r="107" spans="1:15">
      <c r="A107" s="46" t="str">
        <f>'ERPs by country'!A114</f>
        <v>Niger</v>
      </c>
      <c r="B107" s="126">
        <f t="shared" si="3"/>
        <v>56</v>
      </c>
      <c r="C107" s="24">
        <f>VLOOKUP(A107,Table1[[Country]:[Country Risk Premium]],5)</f>
        <v>0.19374177513294266</v>
      </c>
      <c r="D107" s="24">
        <f>VLOOKUP(A107,Table1[[Country]:[Country Risk Premium]],4)</f>
        <v>9.5179640037485941E-2</v>
      </c>
      <c r="E107" s="24">
        <f t="shared" si="2"/>
        <v>0.19374177513294266</v>
      </c>
      <c r="F107" s="57">
        <f>VLOOKUP(A107,'Country Tax Rates'!$A$2:$B$159,2)</f>
        <v>0.3</v>
      </c>
      <c r="G107" s="57">
        <f>VLOOKUP(A107,Table1[[Country]:[Country Risk Premium]],6)</f>
        <v>0.14604177513294267</v>
      </c>
      <c r="H107" s="75"/>
      <c r="N107" s="156" t="s">
        <v>1</v>
      </c>
      <c r="O107" s="75">
        <v>70.25</v>
      </c>
    </row>
    <row r="108" spans="1:15">
      <c r="A108" s="46" t="str">
        <f>'ERPs by country'!A115</f>
        <v>Nigeria</v>
      </c>
      <c r="B108" s="126">
        <f t="shared" si="3"/>
        <v>61.25</v>
      </c>
      <c r="C108" s="24">
        <f>VLOOKUP(A108,Table1[[Country]:[Country Risk Premium]],5)</f>
        <v>0.14260141204291102</v>
      </c>
      <c r="D108" s="24">
        <f>VLOOKUP(A108,Table1[[Country]:[Country Risk Premium]],4)</f>
        <v>6.1849989354559008E-2</v>
      </c>
      <c r="E108" s="24">
        <f t="shared" si="2"/>
        <v>0.14260141204291102</v>
      </c>
      <c r="F108" s="57">
        <f>VLOOKUP(A108,'Country Tax Rates'!$A$2:$B$159,2)</f>
        <v>0.3</v>
      </c>
      <c r="G108" s="57">
        <f>VLOOKUP(A108,Table1[[Country]:[Country Risk Premium]],6)</f>
        <v>9.4901412042911026E-2</v>
      </c>
      <c r="H108" s="75"/>
      <c r="N108" s="156" t="s">
        <v>2</v>
      </c>
      <c r="O108" s="75">
        <v>81</v>
      </c>
    </row>
    <row r="109" spans="1:15">
      <c r="A109" s="46" t="str">
        <f>'ERPs by country'!A116</f>
        <v>Norway</v>
      </c>
      <c r="B109" s="126">
        <f t="shared" si="3"/>
        <v>87.75</v>
      </c>
      <c r="C109" s="24">
        <f>VLOOKUP(A109,Table1[[Country]:[Country Risk Premium]],5)</f>
        <v>4.7699999999999999E-2</v>
      </c>
      <c r="D109" s="24">
        <f>VLOOKUP(A109,Table1[[Country]:[Country Risk Premium]],4)</f>
        <v>0</v>
      </c>
      <c r="E109" s="24">
        <f t="shared" si="2"/>
        <v>4.7699999999999999E-2</v>
      </c>
      <c r="F109" s="57">
        <f>VLOOKUP(A109,'Country Tax Rates'!$A$2:$B$159,2)</f>
        <v>0.22</v>
      </c>
      <c r="G109" s="57">
        <f>VLOOKUP(A109,Table1[[Country]:[Country Risk Premium]],6)</f>
        <v>0</v>
      </c>
      <c r="H109" s="75"/>
      <c r="N109" s="156" t="s">
        <v>135</v>
      </c>
      <c r="O109" s="75">
        <v>60</v>
      </c>
    </row>
    <row r="110" spans="1:15">
      <c r="A110" s="46" t="str">
        <f>'ERPs by country'!A117</f>
        <v>Oman</v>
      </c>
      <c r="B110" s="126">
        <f t="shared" si="3"/>
        <v>78.5</v>
      </c>
      <c r="C110" s="24">
        <f>VLOOKUP(A110,Table1[[Country]:[Country Risk Premium]],5)</f>
        <v>7.979143589877824E-2</v>
      </c>
      <c r="D110" s="24">
        <f>VLOOKUP(A110,Table1[[Country]:[Country Risk Premium]],4)</f>
        <v>2.091491502586354E-2</v>
      </c>
      <c r="E110" s="24">
        <f t="shared" si="2"/>
        <v>7.979143589877824E-2</v>
      </c>
      <c r="F110" s="57">
        <f>VLOOKUP(A110,'Country Tax Rates'!$A$2:$B$159,2)</f>
        <v>0.15</v>
      </c>
      <c r="G110" s="57">
        <f>VLOOKUP(A110,Table1[[Country]:[Country Risk Premium]],6)</f>
        <v>3.2091435898778241E-2</v>
      </c>
      <c r="H110" s="75"/>
      <c r="N110" s="156" t="s">
        <v>454</v>
      </c>
      <c r="O110" s="75">
        <v>66.25</v>
      </c>
    </row>
    <row r="111" spans="1:15">
      <c r="A111" s="46" t="str">
        <f>'ERPs by country'!A118</f>
        <v>Pakistan</v>
      </c>
      <c r="B111" s="126">
        <f t="shared" si="3"/>
        <v>58.25</v>
      </c>
      <c r="C111" s="24">
        <f>VLOOKUP(A111,Table1[[Country]:[Country Risk Premium]],5)</f>
        <v>0.15718842836053751</v>
      </c>
      <c r="D111" s="24">
        <f>VLOOKUP(A111,Table1[[Country]:[Country Risk Premium]],4)</f>
        <v>7.1356768911769716E-2</v>
      </c>
      <c r="E111" s="24">
        <f t="shared" si="2"/>
        <v>0.15718842836053751</v>
      </c>
      <c r="F111" s="57">
        <f>VLOOKUP(A111,'Country Tax Rates'!$A$2:$B$159,2)</f>
        <v>0.28999999999999998</v>
      </c>
      <c r="G111" s="57">
        <f>VLOOKUP(A111,Table1[[Country]:[Country Risk Premium]],6)</f>
        <v>0.10948842836053752</v>
      </c>
      <c r="H111" s="75"/>
      <c r="N111" s="156" t="s">
        <v>321</v>
      </c>
      <c r="O111" s="75">
        <v>62.75</v>
      </c>
    </row>
    <row r="112" spans="1:15">
      <c r="A112" s="46" t="str">
        <f>'ERPs by country'!A119</f>
        <v>Panama</v>
      </c>
      <c r="B112" s="126">
        <f t="shared" si="3"/>
        <v>70.5</v>
      </c>
      <c r="C112" s="24">
        <f>VLOOKUP(A112,Table1[[Country]:[Country Risk Premium]],5)</f>
        <v>7.979143589877824E-2</v>
      </c>
      <c r="D112" s="24">
        <f>VLOOKUP(A112,Table1[[Country]:[Country Risk Premium]],4)</f>
        <v>2.091491502586354E-2</v>
      </c>
      <c r="E112" s="24">
        <f t="shared" si="2"/>
        <v>7.979143589877824E-2</v>
      </c>
      <c r="F112" s="57">
        <f>VLOOKUP(A112,'Country Tax Rates'!$A$2:$B$159,2)</f>
        <v>0.25</v>
      </c>
      <c r="G112" s="57">
        <f>VLOOKUP(A112,Table1[[Country]:[Country Risk Premium]],6)</f>
        <v>3.2091435898778241E-2</v>
      </c>
      <c r="H112" s="75"/>
      <c r="N112" s="156" t="s">
        <v>3</v>
      </c>
      <c r="O112" s="75">
        <v>86.75</v>
      </c>
    </row>
    <row r="113" spans="1:15">
      <c r="A113" s="46" t="str">
        <f>'ERPs by country'!A120</f>
        <v>Papua New Guinea</v>
      </c>
      <c r="B113" s="126">
        <f t="shared" si="3"/>
        <v>70</v>
      </c>
      <c r="C113" s="24">
        <f>VLOOKUP(A113,Table1[[Country]:[Country Risk Premium]],5)</f>
        <v>0.12801439572528456</v>
      </c>
      <c r="D113" s="24">
        <f>VLOOKUP(A113,Table1[[Country]:[Country Risk Premium]],4)</f>
        <v>5.2343209797348314E-2</v>
      </c>
      <c r="E113" s="24">
        <f t="shared" si="2"/>
        <v>0.12801439572528456</v>
      </c>
      <c r="F113" s="57">
        <f>VLOOKUP(A113,'Country Tax Rates'!$A$2:$B$159,2)</f>
        <v>0.3</v>
      </c>
      <c r="G113" s="57">
        <f>VLOOKUP(A113,Table1[[Country]:[Country Risk Premium]],6)</f>
        <v>8.0314395725284565E-2</v>
      </c>
      <c r="H113" s="75"/>
      <c r="N113" s="156" t="s">
        <v>61</v>
      </c>
      <c r="O113" s="75">
        <v>67</v>
      </c>
    </row>
    <row r="114" spans="1:15">
      <c r="A114" s="46" t="str">
        <f>'ERPs by country'!A121</f>
        <v>Paraguay</v>
      </c>
      <c r="B114" s="126">
        <f t="shared" si="3"/>
        <v>70.75</v>
      </c>
      <c r="C114" s="24">
        <f>VLOOKUP(A114,Table1[[Country]:[Country Risk Premium]],5)</f>
        <v>7.979143589877824E-2</v>
      </c>
      <c r="D114" s="24">
        <f>VLOOKUP(A114,Table1[[Country]:[Country Risk Premium]],4)</f>
        <v>2.091491502586354E-2</v>
      </c>
      <c r="E114" s="24">
        <f t="shared" si="2"/>
        <v>7.979143589877824E-2</v>
      </c>
      <c r="F114" s="57">
        <f>VLOOKUP(A114,'Country Tax Rates'!$A$2:$B$159,2)</f>
        <v>0.1</v>
      </c>
      <c r="G114" s="57">
        <f>VLOOKUP(A114,Table1[[Country]:[Country Risk Premium]],6)</f>
        <v>3.2091435898778241E-2</v>
      </c>
      <c r="H114" s="75"/>
      <c r="N114" s="156" t="s">
        <v>187</v>
      </c>
      <c r="O114" s="75">
        <v>76</v>
      </c>
    </row>
    <row r="115" spans="1:15">
      <c r="A115" s="46" t="str">
        <f>'ERPs by country'!A122</f>
        <v>Peru</v>
      </c>
      <c r="B115" s="126">
        <f t="shared" si="3"/>
        <v>69.75</v>
      </c>
      <c r="C115" s="24">
        <f>VLOOKUP(A115,Table1[[Country]:[Country Risk Premium]],5)</f>
        <v>7.1039226108202347E-2</v>
      </c>
      <c r="D115" s="24">
        <f>VLOOKUP(A115,Table1[[Country]:[Country Risk Premium]],4)</f>
        <v>1.5210847291537115E-2</v>
      </c>
      <c r="E115" s="24">
        <f t="shared" si="2"/>
        <v>7.1039226108202347E-2</v>
      </c>
      <c r="F115" s="57">
        <f>VLOOKUP(A115,'Country Tax Rates'!$A$2:$B$159,2)</f>
        <v>0.29499999999999998</v>
      </c>
      <c r="G115" s="57">
        <f>VLOOKUP(A115,Table1[[Country]:[Country Risk Premium]],6)</f>
        <v>2.3339226108202347E-2</v>
      </c>
      <c r="H115" s="75"/>
      <c r="N115" s="156" t="s">
        <v>307</v>
      </c>
      <c r="O115" s="75">
        <v>55.5</v>
      </c>
    </row>
    <row r="116" spans="1:15">
      <c r="A116" s="46" t="str">
        <f>'ERPs by country'!A123</f>
        <v>Philippines</v>
      </c>
      <c r="B116" s="126">
        <f t="shared" si="3"/>
        <v>70</v>
      </c>
      <c r="C116" s="24">
        <f>VLOOKUP(A116,Table1[[Country]:[Country Risk Premium]],5)</f>
        <v>7.5501136981829281E-2</v>
      </c>
      <c r="D116" s="24">
        <f>VLOOKUP(A116,Table1[[Country]:[Country Risk Premium]],4)</f>
        <v>1.8118803391389805E-2</v>
      </c>
      <c r="E116" s="24">
        <f t="shared" si="2"/>
        <v>7.5501136981829281E-2</v>
      </c>
      <c r="F116" s="57">
        <f>VLOOKUP(A116,'Country Tax Rates'!$A$2:$B$159,2)</f>
        <v>0.25</v>
      </c>
      <c r="G116" s="57">
        <f>VLOOKUP(A116,Table1[[Country]:[Country Risk Premium]],6)</f>
        <v>2.7801136981829278E-2</v>
      </c>
      <c r="H116" s="75"/>
      <c r="N116" s="156" t="s">
        <v>76</v>
      </c>
      <c r="O116" s="75">
        <v>68.5</v>
      </c>
    </row>
    <row r="117" spans="1:15">
      <c r="A117" s="46" t="str">
        <f>'ERPs by country'!A124</f>
        <v>Poland</v>
      </c>
      <c r="B117" s="126">
        <f t="shared" si="3"/>
        <v>74</v>
      </c>
      <c r="C117" s="24">
        <f>VLOOKUP(A117,Table1[[Country]:[Country Risk Premium]],5)</f>
        <v>6.0056060880813007E-2</v>
      </c>
      <c r="D117" s="24">
        <f>VLOOKUP(A117,Table1[[Country]:[Country Risk Premium]],4)</f>
        <v>8.0528015072843552E-3</v>
      </c>
      <c r="E117" s="24">
        <f t="shared" si="2"/>
        <v>6.0056060880813007E-2</v>
      </c>
      <c r="F117" s="57">
        <f>VLOOKUP(A117,'Country Tax Rates'!$A$2:$B$159,2)</f>
        <v>0.19</v>
      </c>
      <c r="G117" s="57">
        <f>VLOOKUP(A117,Table1[[Country]:[Country Risk Premium]],6)</f>
        <v>1.2356060880813008E-2</v>
      </c>
      <c r="H117" s="75"/>
      <c r="N117" s="156" t="s">
        <v>138</v>
      </c>
      <c r="O117" s="75">
        <v>73.5</v>
      </c>
    </row>
    <row r="118" spans="1:15">
      <c r="A118" s="46" t="str">
        <f>'ERPs by country'!A125</f>
        <v>Portugal</v>
      </c>
      <c r="B118" s="126">
        <f t="shared" si="3"/>
        <v>78.25</v>
      </c>
      <c r="C118" s="24">
        <f>VLOOKUP(A118,Table1[[Country]:[Country Risk Premium]],5)</f>
        <v>6.5204419581151765E-2</v>
      </c>
      <c r="D118" s="24">
        <f>VLOOKUP(A118,Table1[[Country]:[Country Risk Premium]],4)</f>
        <v>1.1408135468652839E-2</v>
      </c>
      <c r="E118" s="24">
        <f t="shared" si="2"/>
        <v>6.5204419581151765E-2</v>
      </c>
      <c r="F118" s="57">
        <f>VLOOKUP(A118,'Country Tax Rates'!$A$2:$B$159,2)</f>
        <v>0.315</v>
      </c>
      <c r="G118" s="57">
        <f>VLOOKUP(A118,Table1[[Country]:[Country Risk Premium]],6)</f>
        <v>1.7504419581151766E-2</v>
      </c>
      <c r="H118" s="75"/>
      <c r="N118" s="156" t="s">
        <v>134</v>
      </c>
      <c r="O118" s="75">
        <v>69</v>
      </c>
    </row>
    <row r="119" spans="1:15">
      <c r="A119" s="46" t="str">
        <f>'ERPs by country'!A126</f>
        <v>Qatar</v>
      </c>
      <c r="B119" s="126">
        <f t="shared" si="3"/>
        <v>80.25</v>
      </c>
      <c r="C119" s="24">
        <f>VLOOKUP(A119,Table1[[Country]:[Country Risk Premium]],5)</f>
        <v>5.4907702180474256E-2</v>
      </c>
      <c r="D119" s="24">
        <f>VLOOKUP(A119,Table1[[Country]:[Country Risk Premium]],4)</f>
        <v>4.6974675459158736E-3</v>
      </c>
      <c r="E119" s="24">
        <f t="shared" si="2"/>
        <v>5.4907702180474256E-2</v>
      </c>
      <c r="F119" s="57">
        <f>VLOOKUP(A119,'Country Tax Rates'!$A$2:$B$159,2)</f>
        <v>0.1</v>
      </c>
      <c r="G119" s="57">
        <f>VLOOKUP(A119,Table1[[Country]:[Country Risk Premium]],6)</f>
        <v>7.2077021804742543E-3</v>
      </c>
      <c r="H119" s="75"/>
      <c r="N119" s="156" t="s">
        <v>311</v>
      </c>
      <c r="O119" s="75">
        <v>47.75</v>
      </c>
    </row>
    <row r="120" spans="1:15">
      <c r="A120" s="46" t="str">
        <f>'ERPs by country'!A127</f>
        <v>Ras Al Khaimah (Emirate of)</v>
      </c>
      <c r="B120" s="126" t="e">
        <f t="shared" si="3"/>
        <v>#N/A</v>
      </c>
      <c r="C120" s="24">
        <f>VLOOKUP(A120,Table1[[Country]:[Country Risk Premium]],5)</f>
        <v>6.5204419581151765E-2</v>
      </c>
      <c r="D120" s="24">
        <f>VLOOKUP(A120,Table1[[Country]:[Country Risk Premium]],4)</f>
        <v>1.1408135468652839E-2</v>
      </c>
      <c r="E120" s="24">
        <f t="shared" si="2"/>
        <v>6.5204419581151765E-2</v>
      </c>
      <c r="F120" s="57">
        <f>VLOOKUP(A120,'Country Tax Rates'!$A$2:$B$159,2)</f>
        <v>0.18940000000000001</v>
      </c>
      <c r="G120" s="57">
        <f>VLOOKUP(A120,Table1[[Country]:[Country Risk Premium]],6)</f>
        <v>1.7504419581151766E-2</v>
      </c>
      <c r="H120" s="75"/>
      <c r="N120" s="156" t="s">
        <v>33</v>
      </c>
      <c r="O120" s="75">
        <v>67.5</v>
      </c>
    </row>
    <row r="121" spans="1:15">
      <c r="A121" s="46" t="str">
        <f>'ERPs by country'!A128</f>
        <v>Romania</v>
      </c>
      <c r="B121" s="126">
        <f t="shared" si="3"/>
        <v>67.25</v>
      </c>
      <c r="C121" s="24">
        <f>VLOOKUP(A121,Table1[[Country]:[Country Risk Premium]],5)</f>
        <v>7.979143589877824E-2</v>
      </c>
      <c r="D121" s="24">
        <f>VLOOKUP(A121,Table1[[Country]:[Country Risk Premium]],4)</f>
        <v>2.091491502586354E-2</v>
      </c>
      <c r="E121" s="24">
        <f t="shared" si="2"/>
        <v>7.979143589877824E-2</v>
      </c>
      <c r="F121" s="57">
        <f>VLOOKUP(A121,'Country Tax Rates'!$A$2:$B$159,2)</f>
        <v>0.16</v>
      </c>
      <c r="G121" s="57">
        <f>VLOOKUP(A121,Table1[[Country]:[Country Risk Premium]],6)</f>
        <v>3.2091435898778241E-2</v>
      </c>
      <c r="H121" s="75"/>
      <c r="N121" s="156" t="s">
        <v>34</v>
      </c>
      <c r="O121" s="75">
        <v>80.75</v>
      </c>
    </row>
    <row r="122" spans="1:15">
      <c r="A122" s="46" t="str">
        <f>'ERPs by country'!A129</f>
        <v>Rwanda</v>
      </c>
      <c r="B122" s="126" t="e">
        <f t="shared" si="3"/>
        <v>#N/A</v>
      </c>
      <c r="C122" s="24">
        <f>VLOOKUP(A122,Table1[[Country]:[Country Risk Premium]],5)</f>
        <v>0.12801439572528456</v>
      </c>
      <c r="D122" s="24">
        <f>VLOOKUP(A122,Table1[[Country]:[Country Risk Premium]],4)</f>
        <v>5.2343209797348314E-2</v>
      </c>
      <c r="E122" s="24">
        <f t="shared" si="2"/>
        <v>0.12801439572528456</v>
      </c>
      <c r="F122" s="57">
        <f>VLOOKUP(A122,'Country Tax Rates'!$A$2:$B$159,2)</f>
        <v>0.28000000000000003</v>
      </c>
      <c r="G122" s="57">
        <f>VLOOKUP(A122,Table1[[Country]:[Country Risk Premium]],6)</f>
        <v>8.0314395725284565E-2</v>
      </c>
      <c r="H122" s="75"/>
      <c r="N122" s="156" t="s">
        <v>35</v>
      </c>
      <c r="O122" s="75">
        <v>86.75</v>
      </c>
    </row>
    <row r="123" spans="1:15">
      <c r="A123" s="46" t="str">
        <f>'ERPs by country'!A130</f>
        <v>Saudi Arabia</v>
      </c>
      <c r="B123" s="126">
        <f t="shared" si="3"/>
        <v>81</v>
      </c>
      <c r="C123" s="24">
        <f>VLOOKUP(A123,Table1[[Country]:[Country Risk Premium]],5)</f>
        <v>5.6452209790575886E-2</v>
      </c>
      <c r="D123" s="24">
        <f>VLOOKUP(A123,Table1[[Country]:[Country Risk Premium]],4)</f>
        <v>5.7040677343264193E-3</v>
      </c>
      <c r="E123" s="24">
        <f t="shared" si="2"/>
        <v>5.6452209790575886E-2</v>
      </c>
      <c r="F123" s="57">
        <f>VLOOKUP(A123,'Country Tax Rates'!$A$2:$B$159,2)</f>
        <v>0.2</v>
      </c>
      <c r="G123" s="57">
        <f>VLOOKUP(A123,Table1[[Country]:[Country Risk Premium]],6)</f>
        <v>8.7522097905758829E-3</v>
      </c>
      <c r="H123" s="75"/>
      <c r="N123" s="156" t="s">
        <v>308</v>
      </c>
      <c r="O123" s="75">
        <v>51.5</v>
      </c>
    </row>
    <row r="124" spans="1:15">
      <c r="A124" s="46" t="str">
        <f>'ERPs by country'!A131</f>
        <v>Senegal</v>
      </c>
      <c r="B124" s="126">
        <f t="shared" si="3"/>
        <v>60</v>
      </c>
      <c r="C124" s="24">
        <f>VLOOKUP(A124,Table1[[Country]:[Country Risk Premium]],5)</f>
        <v>0.15718842836053751</v>
      </c>
      <c r="D124" s="24">
        <f>VLOOKUP(A124,Table1[[Country]:[Country Risk Premium]],4)</f>
        <v>7.1356768911769716E-2</v>
      </c>
      <c r="E124" s="24">
        <f t="shared" si="2"/>
        <v>0.15718842836053751</v>
      </c>
      <c r="F124" s="57">
        <f>VLOOKUP(A124,'Country Tax Rates'!$A$2:$B$159,2)</f>
        <v>0.3</v>
      </c>
      <c r="G124" s="57">
        <f>VLOOKUP(A124,Table1[[Country]:[Country Risk Premium]],6)</f>
        <v>0.10948842836053752</v>
      </c>
      <c r="H124" s="75"/>
      <c r="N124" s="156" t="s">
        <v>64</v>
      </c>
      <c r="O124" s="75">
        <v>86.25</v>
      </c>
    </row>
    <row r="125" spans="1:15">
      <c r="A125" s="46" t="str">
        <f>'ERPs by country'!A132</f>
        <v>Serbia</v>
      </c>
      <c r="B125" s="126" t="e">
        <f t="shared" si="3"/>
        <v>#N/A</v>
      </c>
      <c r="C125" s="24">
        <f>VLOOKUP(A125,Table1[[Country]:[Country Risk Premium]],5)</f>
        <v>9.1632660909557379E-2</v>
      </c>
      <c r="D125" s="24">
        <f>VLOOKUP(A125,Table1[[Country]:[Country Risk Premium]],4)</f>
        <v>2.863218313701105E-2</v>
      </c>
      <c r="E125" s="24">
        <f t="shared" si="2"/>
        <v>9.1632660909557379E-2</v>
      </c>
      <c r="F125" s="57">
        <f>VLOOKUP(A125,'Country Tax Rates'!$A$2:$B$159,2)</f>
        <v>0.15</v>
      </c>
      <c r="G125" s="57">
        <f>VLOOKUP(A125,Table1[[Country]:[Country Risk Premium]],6)</f>
        <v>4.3932660909557379E-2</v>
      </c>
      <c r="H125" s="75"/>
      <c r="N125" s="156" t="s">
        <v>324</v>
      </c>
      <c r="O125" s="75">
        <v>66</v>
      </c>
    </row>
    <row r="126" spans="1:15">
      <c r="A126" s="46" t="str">
        <f>'ERPs by country'!A133</f>
        <v>Sharjah</v>
      </c>
      <c r="B126" s="126" t="e">
        <f t="shared" si="3"/>
        <v>#N/A</v>
      </c>
      <c r="C126" s="24">
        <f>VLOOKUP(A126,Table1[[Country]:[Country Risk Premium]],5)</f>
        <v>8.425334677240516E-2</v>
      </c>
      <c r="D126" s="24">
        <f>VLOOKUP(A126,Table1[[Country]:[Country Risk Premium]],4)</f>
        <v>2.3822871125716225E-2</v>
      </c>
      <c r="E126" s="24">
        <f t="shared" si="2"/>
        <v>8.425334677240516E-2</v>
      </c>
      <c r="F126" s="57">
        <f>VLOOKUP(A126,'Country Tax Rates'!$A$2:$B$159,2)</f>
        <v>0.18940000000000001</v>
      </c>
      <c r="G126" s="57">
        <f>VLOOKUP(A126,Table1[[Country]:[Country Risk Premium]],6)</f>
        <v>3.6553346772405161E-2</v>
      </c>
      <c r="H126" s="75"/>
      <c r="N126" s="156" t="s">
        <v>65</v>
      </c>
      <c r="O126" s="75">
        <v>68.25</v>
      </c>
    </row>
    <row r="127" spans="1:15">
      <c r="A127" s="46" t="str">
        <f>'ERPs by country'!A134</f>
        <v>Singapore</v>
      </c>
      <c r="B127" s="126">
        <f t="shared" si="3"/>
        <v>86.75</v>
      </c>
      <c r="C127" s="24">
        <f>VLOOKUP(A127,Table1[[Country]:[Country Risk Premium]],5)</f>
        <v>4.7699999999999999E-2</v>
      </c>
      <c r="D127" s="24">
        <f>VLOOKUP(A127,Table1[[Country]:[Country Risk Premium]],4)</f>
        <v>0</v>
      </c>
      <c r="E127" s="24">
        <f t="shared" si="2"/>
        <v>4.7699999999999999E-2</v>
      </c>
      <c r="F127" s="57">
        <f>VLOOKUP(A127,'Country Tax Rates'!$A$2:$B$159,2)</f>
        <v>0.17</v>
      </c>
      <c r="G127" s="57">
        <f>VLOOKUP(A127,Table1[[Country]:[Country Risk Premium]],6)</f>
        <v>0</v>
      </c>
      <c r="H127" s="75"/>
      <c r="N127" s="156" t="s">
        <v>316</v>
      </c>
      <c r="O127" s="75">
        <v>60.75</v>
      </c>
    </row>
    <row r="128" spans="1:15">
      <c r="A128" s="46" t="str">
        <f>'ERPs by country'!A135</f>
        <v>Slovakia</v>
      </c>
      <c r="B128" s="126">
        <f t="shared" si="3"/>
        <v>67</v>
      </c>
      <c r="C128" s="24">
        <f>VLOOKUP(A128,Table1[[Country]:[Country Risk Premium]],5)</f>
        <v>6.5204419581151765E-2</v>
      </c>
      <c r="D128" s="24">
        <f>VLOOKUP(A128,Table1[[Country]:[Country Risk Premium]],4)</f>
        <v>1.1408135468652839E-2</v>
      </c>
      <c r="E128" s="24">
        <f t="shared" si="2"/>
        <v>6.5204419581151765E-2</v>
      </c>
      <c r="F128" s="57">
        <f>VLOOKUP(A128,'Country Tax Rates'!$A$2:$B$159,2)</f>
        <v>0.21</v>
      </c>
      <c r="G128" s="57">
        <f>VLOOKUP(A128,Table1[[Country]:[Country Risk Premium]],6)</f>
        <v>1.7504419581151766E-2</v>
      </c>
      <c r="H128" s="75"/>
      <c r="N128" s="156" t="s">
        <v>11</v>
      </c>
      <c r="O128" s="75">
        <v>76</v>
      </c>
    </row>
    <row r="129" spans="1:15">
      <c r="A129" s="46" t="str">
        <f>'ERPs by country'!A136</f>
        <v>Slovenia</v>
      </c>
      <c r="B129" s="126">
        <f t="shared" si="3"/>
        <v>76</v>
      </c>
      <c r="C129" s="24">
        <f>VLOOKUP(A129,Table1[[Country]:[Country Risk Premium]],5)</f>
        <v>6.0056060880813007E-2</v>
      </c>
      <c r="D129" s="24">
        <f>VLOOKUP(A129,Table1[[Country]:[Country Risk Premium]],4)</f>
        <v>8.0528015072843552E-3</v>
      </c>
      <c r="E129" s="24">
        <f t="shared" si="2"/>
        <v>6.0056060880813007E-2</v>
      </c>
      <c r="F129" s="57">
        <f>VLOOKUP(A129,'Country Tax Rates'!$A$2:$B$159,2)</f>
        <v>0.22</v>
      </c>
      <c r="G129" s="57">
        <f>VLOOKUP(A129,Table1[[Country]:[Country Risk Premium]],6)</f>
        <v>1.2356060880813008E-2</v>
      </c>
      <c r="H129" s="75"/>
      <c r="N129" s="156" t="s">
        <v>77</v>
      </c>
      <c r="O129" s="75">
        <v>63</v>
      </c>
    </row>
    <row r="130" spans="1:15">
      <c r="A130" s="46" t="str">
        <f>'ERPs by country'!A137</f>
        <v>Solomon Islands</v>
      </c>
      <c r="B130" s="126" t="e">
        <f t="shared" si="3"/>
        <v>#N/A</v>
      </c>
      <c r="C130" s="24">
        <f>VLOOKUP(A130,Table1[[Country]:[Country Risk Premium]],5)</f>
        <v>0.15718842836053751</v>
      </c>
      <c r="D130" s="24">
        <f>VLOOKUP(A130,Table1[[Country]:[Country Risk Premium]],4)</f>
        <v>7.1356768911769716E-2</v>
      </c>
      <c r="E130" s="24">
        <f t="shared" si="2"/>
        <v>0.15718842836053751</v>
      </c>
      <c r="F130" s="57">
        <f>VLOOKUP(A130,'Country Tax Rates'!$A$2:$B$159,2)</f>
        <v>0.3</v>
      </c>
      <c r="G130" s="57">
        <f>VLOOKUP(A130,Table1[[Country]:[Country Risk Premium]],6)</f>
        <v>0.10948842836053752</v>
      </c>
      <c r="H130" s="75"/>
      <c r="N130" s="156" t="s">
        <v>66</v>
      </c>
      <c r="O130" s="75">
        <v>61</v>
      </c>
    </row>
    <row r="131" spans="1:15">
      <c r="A131" s="46" t="str">
        <f>'ERPs by country'!A138</f>
        <v>South Africa</v>
      </c>
      <c r="B131" s="126">
        <f t="shared" si="3"/>
        <v>68.5</v>
      </c>
      <c r="C131" s="24">
        <f>VLOOKUP(A131,Table1[[Country]:[Country Risk Premium]],5)</f>
        <v>9.1632660909557379E-2</v>
      </c>
      <c r="D131" s="24">
        <f>VLOOKUP(A131,Table1[[Country]:[Country Risk Premium]],4)</f>
        <v>2.863218313701105E-2</v>
      </c>
      <c r="E131" s="24">
        <f t="shared" ref="E131:E158" si="5">C131</f>
        <v>9.1632660909557379E-2</v>
      </c>
      <c r="F131" s="57">
        <f>VLOOKUP(A131,'Country Tax Rates'!$A$2:$B$159,2)</f>
        <v>0.27</v>
      </c>
      <c r="G131" s="57">
        <f>VLOOKUP(A131,Table1[[Country]:[Country Risk Premium]],6)</f>
        <v>4.3932660909557379E-2</v>
      </c>
      <c r="H131" s="75"/>
      <c r="N131" s="156" t="s">
        <v>225</v>
      </c>
      <c r="O131" s="75">
        <v>62.75</v>
      </c>
    </row>
    <row r="132" spans="1:15">
      <c r="A132" s="46" t="str">
        <f>'ERPs by country'!A139</f>
        <v>Spain</v>
      </c>
      <c r="B132" s="126">
        <f t="shared" si="3"/>
        <v>73.5</v>
      </c>
      <c r="C132" s="24">
        <f>VLOOKUP(A132,Table1[[Country]:[Country Risk Premium]],5)</f>
        <v>6.5204419581151765E-2</v>
      </c>
      <c r="D132" s="24">
        <f>VLOOKUP(A132,Table1[[Country]:[Country Risk Premium]],4)</f>
        <v>1.1408135468652839E-2</v>
      </c>
      <c r="E132" s="24">
        <f t="shared" si="5"/>
        <v>6.5204419581151765E-2</v>
      </c>
      <c r="F132" s="57">
        <f>VLOOKUP(A132,'Country Tax Rates'!$A$2:$B$159,2)</f>
        <v>0.25</v>
      </c>
      <c r="G132" s="57">
        <f>VLOOKUP(A132,Table1[[Country]:[Country Risk Premium]],6)</f>
        <v>1.7504419581151766E-2</v>
      </c>
      <c r="H132" s="75"/>
      <c r="N132" s="156" t="s">
        <v>68</v>
      </c>
      <c r="O132" s="75">
        <v>57</v>
      </c>
    </row>
    <row r="133" spans="1:15">
      <c r="A133" s="46" t="str">
        <f>'ERPs by country'!A140</f>
        <v>Sri Lanka</v>
      </c>
      <c r="B133" s="126">
        <f t="shared" ref="B133:B158" si="6">VLOOKUP(A133,$N$2:$O$142,2,FALSE)</f>
        <v>69</v>
      </c>
      <c r="C133" s="24">
        <f>VLOOKUP(A133,Table1[[Country]:[Country Risk Premium]],5)</f>
        <v>0.22291580776819558</v>
      </c>
      <c r="D133" s="24">
        <f>VLOOKUP(A133,Table1[[Country]:[Country Risk Premium]],4)</f>
        <v>0.11419319915190733</v>
      </c>
      <c r="E133" s="24">
        <f t="shared" si="5"/>
        <v>0.22291580776819558</v>
      </c>
      <c r="F133" s="57">
        <f>VLOOKUP(A133,'Country Tax Rates'!$A$2:$B$159,2)</f>
        <v>0.3</v>
      </c>
      <c r="G133" s="57">
        <f>VLOOKUP(A133,Table1[[Country]:[Country Risk Premium]],6)</f>
        <v>0.17521580776819559</v>
      </c>
      <c r="H133" s="75"/>
      <c r="N133" s="156" t="s">
        <v>60</v>
      </c>
      <c r="O133" s="75">
        <v>80.5</v>
      </c>
    </row>
    <row r="134" spans="1:15">
      <c r="A134" s="46" t="str">
        <f>'ERPs by country'!A141</f>
        <v>St. Maarten</v>
      </c>
      <c r="B134" s="126" t="e">
        <f t="shared" si="6"/>
        <v>#N/A</v>
      </c>
      <c r="C134" s="24">
        <f>VLOOKUP(A134,Table1[[Country]:[Country Risk Premium]],5)</f>
        <v>9.1632660909557379E-2</v>
      </c>
      <c r="D134" s="24">
        <f>VLOOKUP(A134,Table1[[Country]:[Country Risk Premium]],4)</f>
        <v>2.863218313701105E-2</v>
      </c>
      <c r="E134" s="24">
        <f t="shared" si="5"/>
        <v>9.1632660909557379E-2</v>
      </c>
      <c r="F134" s="57">
        <f>VLOOKUP(A134,'Country Tax Rates'!$A$2:$B$159,2)</f>
        <v>0.2</v>
      </c>
      <c r="G134" s="57">
        <f>VLOOKUP(A134,Table1[[Country]:[Country Risk Premium]],6)</f>
        <v>4.3932660909557379E-2</v>
      </c>
      <c r="H134" s="75"/>
      <c r="N134" s="156" t="s">
        <v>57</v>
      </c>
      <c r="O134" s="75">
        <v>76.25</v>
      </c>
    </row>
    <row r="135" spans="1:15">
      <c r="A135" s="46" t="str">
        <f>'ERPs by country'!A142</f>
        <v>St. Vincent &amp; the Grenadines</v>
      </c>
      <c r="B135" s="126" t="e">
        <f t="shared" si="6"/>
        <v>#N/A</v>
      </c>
      <c r="C135" s="24">
        <f>VLOOKUP(A135,Table1[[Country]:[Country Risk Premium]],5)</f>
        <v>0.14260141204291102</v>
      </c>
      <c r="D135" s="24">
        <f>VLOOKUP(A135,Table1[[Country]:[Country Risk Premium]],4)</f>
        <v>6.1849989354559008E-2</v>
      </c>
      <c r="E135" s="24">
        <f t="shared" si="5"/>
        <v>0.14260141204291102</v>
      </c>
      <c r="F135" s="57">
        <f>VLOOKUP(A135,'Country Tax Rates'!$A$2:$B$159,2)</f>
        <v>0.28000000000000003</v>
      </c>
      <c r="G135" s="57">
        <f>VLOOKUP(A135,Table1[[Country]:[Country Risk Premium]],6)</f>
        <v>9.4901412042911026E-2</v>
      </c>
      <c r="H135" s="75"/>
      <c r="N135" s="156" t="s">
        <v>345</v>
      </c>
      <c r="O135" s="75">
        <v>68.5</v>
      </c>
    </row>
    <row r="136" spans="1:15">
      <c r="A136" s="46" t="str">
        <f>'ERPs by country'!A143</f>
        <v>Suriname</v>
      </c>
      <c r="B136" s="126">
        <f t="shared" si="6"/>
        <v>67.5</v>
      </c>
      <c r="C136" s="24">
        <f>VLOOKUP(A136,Table1[[Country]:[Country Risk Premium]],5)</f>
        <v>0.15718842836053751</v>
      </c>
      <c r="D136" s="24">
        <f>VLOOKUP(A136,Table1[[Country]:[Country Risk Premium]],4)</f>
        <v>7.1356768911769716E-2</v>
      </c>
      <c r="E136" s="24">
        <f t="shared" si="5"/>
        <v>0.15718842836053751</v>
      </c>
      <c r="F136" s="57">
        <f>VLOOKUP(A136,'Country Tax Rates'!$A$2:$B$159,2)</f>
        <v>0.36</v>
      </c>
      <c r="G136" s="57">
        <f>VLOOKUP(A136,Table1[[Country]:[Country Risk Premium]],6)</f>
        <v>0.10948842836053752</v>
      </c>
      <c r="H136" s="75"/>
      <c r="N136" s="156" t="s">
        <v>69</v>
      </c>
      <c r="O136" s="75">
        <v>76.5</v>
      </c>
    </row>
    <row r="137" spans="1:15">
      <c r="A137" s="46" t="str">
        <f>'ERPs by country'!A144</f>
        <v>Swaziland</v>
      </c>
      <c r="B137" s="126" t="e">
        <f t="shared" si="6"/>
        <v>#N/A</v>
      </c>
      <c r="C137" s="24">
        <f>VLOOKUP(A137,Table1[[Country]:[Country Risk Premium]],5)</f>
        <v>0.12801439572528456</v>
      </c>
      <c r="D137" s="24">
        <f>VLOOKUP(A137,Table1[[Country]:[Country Risk Premium]],4)</f>
        <v>5.2343209797348314E-2</v>
      </c>
      <c r="E137" s="24">
        <f t="shared" si="5"/>
        <v>0.12801439572528456</v>
      </c>
      <c r="F137" s="57">
        <f>VLOOKUP(A137,'Country Tax Rates'!$A$2:$B$159,2)</f>
        <v>0.25</v>
      </c>
      <c r="G137" s="57">
        <f>VLOOKUP(A137,Table1[[Country]:[Country Risk Premium]],6)</f>
        <v>8.0314395725284565E-2</v>
      </c>
      <c r="H137" s="75"/>
      <c r="N137" s="156" t="s">
        <v>367</v>
      </c>
      <c r="O137" s="75">
        <v>74.75</v>
      </c>
    </row>
    <row r="138" spans="1:15">
      <c r="A138" s="46" t="str">
        <f>'ERPs by country'!A145</f>
        <v>Sweden</v>
      </c>
      <c r="B138" s="126">
        <f t="shared" si="6"/>
        <v>80.75</v>
      </c>
      <c r="C138" s="24">
        <f>VLOOKUP(A138,Table1[[Country]:[Country Risk Premium]],5)</f>
        <v>4.7699999999999999E-2</v>
      </c>
      <c r="D138" s="24">
        <f>VLOOKUP(A138,Table1[[Country]:[Country Risk Premium]],4)</f>
        <v>0</v>
      </c>
      <c r="E138" s="24">
        <f t="shared" si="5"/>
        <v>4.7699999999999999E-2</v>
      </c>
      <c r="F138" s="57">
        <f>VLOOKUP(A138,'Country Tax Rates'!$A$2:$B$159,2)</f>
        <v>0.20600000000000002</v>
      </c>
      <c r="G138" s="57">
        <f>VLOOKUP(A138,Table1[[Country]:[Country Risk Premium]],6)</f>
        <v>0</v>
      </c>
      <c r="N138" s="156" t="s">
        <v>70</v>
      </c>
      <c r="O138" s="75">
        <v>57</v>
      </c>
    </row>
    <row r="139" spans="1:15">
      <c r="A139" s="46" t="str">
        <f>'ERPs by country'!A146</f>
        <v>Switzerland</v>
      </c>
      <c r="B139" s="126">
        <f t="shared" si="6"/>
        <v>86.75</v>
      </c>
      <c r="C139" s="24">
        <f>VLOOKUP(A139,Table1[[Country]:[Country Risk Premium]],5)</f>
        <v>4.7699999999999999E-2</v>
      </c>
      <c r="D139" s="24">
        <f>VLOOKUP(A139,Table1[[Country]:[Country Risk Premium]],4)</f>
        <v>0</v>
      </c>
      <c r="E139" s="24">
        <f t="shared" si="5"/>
        <v>4.7699999999999999E-2</v>
      </c>
      <c r="F139" s="57">
        <f>VLOOKUP(A139,'Country Tax Rates'!$A$2:$B$159,2)</f>
        <v>0.1961</v>
      </c>
      <c r="G139" s="57">
        <f>VLOOKUP(A139,Table1[[Country]:[Country Risk Premium]],6)</f>
        <v>0</v>
      </c>
      <c r="N139" s="156" t="s">
        <v>71</v>
      </c>
      <c r="O139" s="75">
        <v>72.75</v>
      </c>
    </row>
    <row r="140" spans="1:15">
      <c r="A140" s="46" t="str">
        <f>'ERPs by country'!A147</f>
        <v>Taiwan</v>
      </c>
      <c r="B140" s="126">
        <f t="shared" si="6"/>
        <v>86.25</v>
      </c>
      <c r="C140" s="24">
        <f>VLOOKUP(A140,Table1[[Country]:[Country Risk Premium]],5)</f>
        <v>5.6452209790575886E-2</v>
      </c>
      <c r="D140" s="24">
        <f>VLOOKUP(A140,Table1[[Country]:[Country Risk Premium]],4)</f>
        <v>5.7040677343264193E-3</v>
      </c>
      <c r="E140" s="24">
        <f t="shared" si="5"/>
        <v>5.6452209790575886E-2</v>
      </c>
      <c r="F140" s="57">
        <f>VLOOKUP(A140,'Country Tax Rates'!$A$2:$B$159,2)</f>
        <v>0.2</v>
      </c>
      <c r="G140" s="57">
        <f>VLOOKUP(A140,Table1[[Country]:[Country Risk Premium]],6)</f>
        <v>8.7522097905758829E-3</v>
      </c>
      <c r="N140" s="156" t="s">
        <v>315</v>
      </c>
      <c r="O140" s="75">
        <v>51.75</v>
      </c>
    </row>
    <row r="141" spans="1:15">
      <c r="A141" s="46" t="str">
        <f>'ERPs by country'!A148</f>
        <v>Tajikistan</v>
      </c>
      <c r="B141" s="126" t="e">
        <f t="shared" si="6"/>
        <v>#N/A</v>
      </c>
      <c r="C141" s="24">
        <f>VLOOKUP(A141,Table1[[Country]:[Country Risk Premium]],5)</f>
        <v>0.12801439572528456</v>
      </c>
      <c r="D141" s="24">
        <f>VLOOKUP(A141,Table1[[Country]:[Country Risk Premium]],4)</f>
        <v>5.2343209797348314E-2</v>
      </c>
      <c r="E141" s="24">
        <f t="shared" si="5"/>
        <v>0.12801439572528456</v>
      </c>
      <c r="F141" s="57">
        <f>VLOOKUP(A141,'Country Tax Rates'!$A$2:$B$159,2)</f>
        <v>0.18</v>
      </c>
      <c r="G141" s="57">
        <f>VLOOKUP(A141,Table1[[Country]:[Country Risk Premium]],6)</f>
        <v>8.0314395725284565E-2</v>
      </c>
      <c r="N141" s="156" t="s">
        <v>189</v>
      </c>
      <c r="O141" s="75">
        <v>66.25</v>
      </c>
    </row>
    <row r="142" spans="1:15">
      <c r="A142" s="46" t="str">
        <f>'ERPs by country'!A149</f>
        <v>Tanzania</v>
      </c>
      <c r="B142" s="126">
        <f t="shared" si="6"/>
        <v>66</v>
      </c>
      <c r="C142" s="24">
        <f>VLOOKUP(A142,Table1[[Country]:[Country Risk Premium]],5)</f>
        <v>0.1134273794076581</v>
      </c>
      <c r="D142" s="24">
        <f>VLOOKUP(A142,Table1[[Country]:[Country Risk Premium]],4)</f>
        <v>4.2836430240137613E-2</v>
      </c>
      <c r="E142" s="24">
        <f t="shared" si="5"/>
        <v>0.1134273794076581</v>
      </c>
      <c r="F142" s="57">
        <f>VLOOKUP(A142,'Country Tax Rates'!$A$2:$B$159,2)</f>
        <v>0.3</v>
      </c>
      <c r="G142" s="57">
        <f>VLOOKUP(A142,Table1[[Country]:[Country Risk Premium]],6)</f>
        <v>6.572737940765809E-2</v>
      </c>
      <c r="N142" s="156" t="s">
        <v>312</v>
      </c>
      <c r="O142" s="75">
        <v>58.5</v>
      </c>
    </row>
    <row r="143" spans="1:15">
      <c r="A143" s="46" t="str">
        <f>'ERPs by country'!A150</f>
        <v>Thailand</v>
      </c>
      <c r="B143" s="126">
        <f t="shared" si="6"/>
        <v>68.25</v>
      </c>
      <c r="C143" s="24">
        <f>VLOOKUP(A143,Table1[[Country]:[Country Risk Premium]],5)</f>
        <v>7.1039226108202347E-2</v>
      </c>
      <c r="D143" s="24">
        <f>VLOOKUP(A143,Table1[[Country]:[Country Risk Premium]],4)</f>
        <v>1.5210847291537115E-2</v>
      </c>
      <c r="E143" s="24">
        <f t="shared" si="5"/>
        <v>7.1039226108202347E-2</v>
      </c>
      <c r="F143" s="57">
        <f>VLOOKUP(A143,'Country Tax Rates'!$A$2:$B$159,2)</f>
        <v>0.2</v>
      </c>
      <c r="G143" s="57">
        <f>VLOOKUP(A143,Table1[[Country]:[Country Risk Premium]],6)</f>
        <v>2.3339226108202347E-2</v>
      </c>
    </row>
    <row r="144" spans="1:15">
      <c r="A144" s="46" t="str">
        <f>'ERPs by country'!A151</f>
        <v>Togo</v>
      </c>
      <c r="B144" s="126">
        <f t="shared" si="6"/>
        <v>60.75</v>
      </c>
      <c r="C144" s="24">
        <f>VLOOKUP(A144,Table1[[Country]:[Country Risk Premium]],5)</f>
        <v>0.14260141204291102</v>
      </c>
      <c r="D144" s="24">
        <f>VLOOKUP(A144,Table1[[Country]:[Country Risk Premium]],4)</f>
        <v>6.1849989354559008E-2</v>
      </c>
      <c r="E144" s="24">
        <f t="shared" si="5"/>
        <v>0.14260141204291102</v>
      </c>
      <c r="F144" s="57">
        <f>VLOOKUP(A144,'Country Tax Rates'!$A$2:$B$159,2)</f>
        <v>0.27</v>
      </c>
      <c r="G144" s="57">
        <f>VLOOKUP(A144,Table1[[Country]:[Country Risk Premium]],6)</f>
        <v>9.4901412042911026E-2</v>
      </c>
    </row>
    <row r="145" spans="1:11">
      <c r="A145" s="46" t="str">
        <f>'ERPs by country'!A152</f>
        <v>Trinidad and Tobago</v>
      </c>
      <c r="B145" s="126">
        <f t="shared" si="6"/>
        <v>76</v>
      </c>
      <c r="C145" s="24">
        <f>VLOOKUP(A145,Table1[[Country]:[Country Risk Premium]],5)</f>
        <v>9.1632660909557379E-2</v>
      </c>
      <c r="D145" s="24">
        <f>VLOOKUP(A145,Table1[[Country]:[Country Risk Premium]],4)</f>
        <v>2.863218313701105E-2</v>
      </c>
      <c r="E145" s="24">
        <f t="shared" si="5"/>
        <v>9.1632660909557379E-2</v>
      </c>
      <c r="F145" s="57">
        <f>VLOOKUP(A145,'Country Tax Rates'!$A$2:$B$159,2)</f>
        <v>0.3</v>
      </c>
      <c r="G145" s="57">
        <f>VLOOKUP(A145,Table1[[Country]:[Country Risk Premium]],6)</f>
        <v>4.3932660909557379E-2</v>
      </c>
    </row>
    <row r="146" spans="1:11">
      <c r="A146" s="46" t="str">
        <f>'ERPs by country'!A153</f>
        <v>Tunisia</v>
      </c>
      <c r="B146" s="126">
        <f t="shared" si="6"/>
        <v>63</v>
      </c>
      <c r="C146" s="24">
        <f>VLOOKUP(A146,Table1[[Country]:[Country Risk Premium]],5)</f>
        <v>0.15718842836053751</v>
      </c>
      <c r="D146" s="24">
        <f>VLOOKUP(A146,Table1[[Country]:[Country Risk Premium]],4)</f>
        <v>7.1356768911769716E-2</v>
      </c>
      <c r="E146" s="24">
        <f t="shared" si="5"/>
        <v>0.15718842836053751</v>
      </c>
      <c r="F146" s="57">
        <f>VLOOKUP(A146,'Country Tax Rates'!$A$2:$B$159,2)</f>
        <v>0.15</v>
      </c>
      <c r="G146" s="57">
        <f>VLOOKUP(A146,Table1[[Country]:[Country Risk Premium]],6)</f>
        <v>0.10948842836053752</v>
      </c>
    </row>
    <row r="147" spans="1:11">
      <c r="A147" s="46" t="str">
        <f>'ERPs by country'!A154</f>
        <v>Turkey</v>
      </c>
      <c r="B147" s="126">
        <f t="shared" si="6"/>
        <v>61</v>
      </c>
      <c r="C147" s="24">
        <f>VLOOKUP(A147,Table1[[Country]:[Country Risk Premium]],5)</f>
        <v>0.1002132587434553</v>
      </c>
      <c r="D147" s="24">
        <f>VLOOKUP(A147,Table1[[Country]:[Country Risk Premium]],4)</f>
        <v>3.4224406405958516E-2</v>
      </c>
      <c r="E147" s="24">
        <f t="shared" si="5"/>
        <v>0.1002132587434553</v>
      </c>
      <c r="F147" s="57">
        <f>VLOOKUP(A147,'Country Tax Rates'!$A$2:$B$159,2)</f>
        <v>0.25</v>
      </c>
      <c r="G147" s="57">
        <f>VLOOKUP(A147,Table1[[Country]:[Country Risk Premium]],6)</f>
        <v>5.2513258743455297E-2</v>
      </c>
    </row>
    <row r="148" spans="1:11">
      <c r="A148" s="46" t="str">
        <f>'ERPs by country'!A155</f>
        <v>Turks and Caicos Islands</v>
      </c>
      <c r="B148" s="126" t="e">
        <f t="shared" si="6"/>
        <v>#N/A</v>
      </c>
      <c r="C148" s="24">
        <f>VLOOKUP(A148,Table1[[Country]:[Country Risk Premium]],5)</f>
        <v>7.1039226108202347E-2</v>
      </c>
      <c r="D148" s="24">
        <f>VLOOKUP(A148,Table1[[Country]:[Country Risk Premium]],4)</f>
        <v>1.5210847291537115E-2</v>
      </c>
      <c r="E148" s="24">
        <f t="shared" si="5"/>
        <v>7.1039226108202347E-2</v>
      </c>
      <c r="F148" s="57">
        <f>VLOOKUP(A148,'Country Tax Rates'!$A$2:$B$159,2)</f>
        <v>0</v>
      </c>
      <c r="G148" s="57">
        <f>VLOOKUP(A148,Table1[[Country]:[Country Risk Premium]],6)</f>
        <v>2.3339226108202347E-2</v>
      </c>
    </row>
    <row r="149" spans="1:11">
      <c r="A149" s="46" t="str">
        <f>'ERPs by country'!A156</f>
        <v>Uganda</v>
      </c>
      <c r="B149" s="126">
        <f t="shared" si="6"/>
        <v>62.75</v>
      </c>
      <c r="C149" s="24">
        <f>VLOOKUP(A149,Table1[[Country]:[Country Risk Premium]],5)</f>
        <v>0.14260141204291102</v>
      </c>
      <c r="D149" s="24">
        <f>VLOOKUP(A149,Table1[[Country]:[Country Risk Premium]],4)</f>
        <v>6.1849989354559008E-2</v>
      </c>
      <c r="E149" s="24">
        <f t="shared" si="5"/>
        <v>0.14260141204291102</v>
      </c>
      <c r="F149" s="57">
        <f>VLOOKUP(A149,'Country Tax Rates'!$A$2:$B$159,2)</f>
        <v>0.3</v>
      </c>
      <c r="G149" s="57">
        <f>VLOOKUP(A149,Table1[[Country]:[Country Risk Premium]],6)</f>
        <v>9.4901412042911026E-2</v>
      </c>
    </row>
    <row r="150" spans="1:11">
      <c r="A150" s="46" t="str">
        <f>'ERPs by country'!A157</f>
        <v>Ukraine</v>
      </c>
      <c r="B150" s="126">
        <f t="shared" si="6"/>
        <v>57</v>
      </c>
      <c r="C150" s="24">
        <f>VLOOKUP(A150,Table1[[Country]:[Country Risk Premium]],5)</f>
        <v>0.22291580776819558</v>
      </c>
      <c r="D150" s="24">
        <f>VLOOKUP(A150,Table1[[Country]:[Country Risk Premium]],4)</f>
        <v>0.11419319915190733</v>
      </c>
      <c r="E150" s="24">
        <f t="shared" si="5"/>
        <v>0.22291580776819558</v>
      </c>
      <c r="F150" s="57">
        <f>VLOOKUP(A150,'Country Tax Rates'!$A$2:$B$159,2)</f>
        <v>0.18</v>
      </c>
      <c r="G150" s="57">
        <f>VLOOKUP(A150,Table1[[Country]:[Country Risk Premium]],6)</f>
        <v>0.17521580776819559</v>
      </c>
    </row>
    <row r="151" spans="1:11">
      <c r="A151" s="46" t="str">
        <f>'ERPs by country'!A158</f>
        <v>United Arab Emirates</v>
      </c>
      <c r="B151" s="126">
        <f t="shared" si="6"/>
        <v>80.5</v>
      </c>
      <c r="C151" s="24">
        <f>VLOOKUP(A151,Table1[[Country]:[Country Risk Premium]],5)</f>
        <v>5.4907702180474256E-2</v>
      </c>
      <c r="D151" s="24">
        <f>VLOOKUP(A151,Table1[[Country]:[Country Risk Premium]],4)</f>
        <v>4.6974675459158736E-3</v>
      </c>
      <c r="E151" s="24">
        <f t="shared" si="5"/>
        <v>5.4907702180474256E-2</v>
      </c>
      <c r="F151" s="57">
        <f>VLOOKUP(A151,'Country Tax Rates'!$A$2:$B$159,2)</f>
        <v>0.09</v>
      </c>
      <c r="G151" s="57">
        <f>VLOOKUP(A151,Table1[[Country]:[Country Risk Premium]],6)</f>
        <v>7.2077021804742543E-3</v>
      </c>
    </row>
    <row r="152" spans="1:11">
      <c r="A152" s="46" t="str">
        <f>'ERPs by country'!A159</f>
        <v>United Kingdom</v>
      </c>
      <c r="B152" s="126">
        <f t="shared" si="6"/>
        <v>76.25</v>
      </c>
      <c r="C152" s="24">
        <f>VLOOKUP(A152,Table1[[Country]:[Country Risk Premium]],5)</f>
        <v>5.6452209790575886E-2</v>
      </c>
      <c r="D152" s="24">
        <f>VLOOKUP(A152,Table1[[Country]:[Country Risk Premium]],4)</f>
        <v>5.7040677343264193E-3</v>
      </c>
      <c r="E152" s="24">
        <f t="shared" si="5"/>
        <v>5.6452209790575886E-2</v>
      </c>
      <c r="F152" s="57">
        <f>VLOOKUP(A152,'Country Tax Rates'!$A$2:$B$159,2)</f>
        <v>0.25</v>
      </c>
      <c r="G152" s="57">
        <f>VLOOKUP(A152,Table1[[Country]:[Country Risk Premium]],6)</f>
        <v>8.7522097905758829E-3</v>
      </c>
    </row>
    <row r="153" spans="1:11">
      <c r="A153" s="46" t="str">
        <f>'ERPs by country'!A160</f>
        <v>United States</v>
      </c>
      <c r="B153" s="126">
        <f t="shared" si="6"/>
        <v>68.5</v>
      </c>
      <c r="C153" s="24">
        <f>VLOOKUP(A153,Table1[[Country]:[Country Risk Premium]],5)</f>
        <v>5.0299999999999997E-2</v>
      </c>
      <c r="D153" s="24">
        <f>VLOOKUP(A153,Table1[[Country]:[Country Risk Premium]],4)</f>
        <v>2.6131717269259457E-3</v>
      </c>
      <c r="E153" s="24">
        <f t="shared" si="5"/>
        <v>5.0299999999999997E-2</v>
      </c>
      <c r="F153" s="57">
        <f>VLOOKUP(A153,'Country Tax Rates'!$A$2:$B$159,2)</f>
        <v>0.25</v>
      </c>
      <c r="G153" s="57">
        <f>VLOOKUP(A153,Table1[[Country]:[Country Risk Premium]],6)</f>
        <v>2.6131717269259457E-3</v>
      </c>
    </row>
    <row r="154" spans="1:11">
      <c r="A154" s="46" t="str">
        <f>'ERPs by country'!A161</f>
        <v>Uruguay</v>
      </c>
      <c r="B154" s="126">
        <f t="shared" si="6"/>
        <v>76.5</v>
      </c>
      <c r="C154" s="24">
        <f>VLOOKUP(A154,Table1[[Country]:[Country Risk Premium]],5)</f>
        <v>7.1039226108202347E-2</v>
      </c>
      <c r="D154" s="24">
        <f>VLOOKUP(A154,Table1[[Country]:[Country Risk Premium]],4)</f>
        <v>1.5210847291537115E-2</v>
      </c>
      <c r="E154" s="24">
        <f t="shared" si="5"/>
        <v>7.1039226108202347E-2</v>
      </c>
      <c r="F154" s="57">
        <f>VLOOKUP(A154,'Country Tax Rates'!$A$2:$B$159,2)</f>
        <v>0.25</v>
      </c>
      <c r="G154" s="57">
        <f>VLOOKUP(A154,Table1[[Country]:[Country Risk Premium]],6)</f>
        <v>2.3339226108202347E-2</v>
      </c>
    </row>
    <row r="155" spans="1:11">
      <c r="A155" s="46" t="str">
        <f>'ERPs by country'!A162</f>
        <v>Uzbekistan</v>
      </c>
      <c r="B155" s="126">
        <f t="shared" si="6"/>
        <v>74.75</v>
      </c>
      <c r="C155" s="24">
        <f>VLOOKUP(A155,Table1[[Country]:[Country Risk Premium]],5)</f>
        <v>0.1002132587434553</v>
      </c>
      <c r="D155" s="24">
        <f>VLOOKUP(A155,Table1[[Country]:[Country Risk Premium]],4)</f>
        <v>3.4224406405958516E-2</v>
      </c>
      <c r="E155" s="24">
        <f t="shared" si="5"/>
        <v>0.1002132587434553</v>
      </c>
      <c r="F155" s="57">
        <f>VLOOKUP(A155,'Country Tax Rates'!$A$2:$B$159,2)</f>
        <v>0.15</v>
      </c>
      <c r="G155" s="57">
        <f>VLOOKUP(A155,Table1[[Country]:[Country Risk Premium]],6)</f>
        <v>5.2513258743455297E-2</v>
      </c>
    </row>
    <row r="156" spans="1:11">
      <c r="A156" s="46" t="str">
        <f>'ERPs by country'!A163</f>
        <v>Venezuela</v>
      </c>
      <c r="B156" s="126">
        <f t="shared" si="6"/>
        <v>57</v>
      </c>
      <c r="C156" s="24">
        <f>VLOOKUP(A156,Table1[[Country]:[Country Risk Premium]],5)</f>
        <v>0.31621657180253437</v>
      </c>
      <c r="D156" s="24">
        <f>VLOOKUP(A156,Table1[[Country]:[Country Risk Premium]],4)</f>
        <v>0.17499999999999999</v>
      </c>
      <c r="E156" s="24">
        <f t="shared" si="5"/>
        <v>0.31621657180253437</v>
      </c>
      <c r="F156" s="57">
        <f>VLOOKUP(A156,'Country Tax Rates'!$A$2:$B$159,2)</f>
        <v>0.34</v>
      </c>
      <c r="G156" s="57">
        <f>VLOOKUP(A156,Table1[[Country]:[Country Risk Premium]],6)</f>
        <v>0.26851657180253435</v>
      </c>
    </row>
    <row r="157" spans="1:11">
      <c r="A157" s="46" t="str">
        <f>'ERPs by country'!A164</f>
        <v>Vietnam</v>
      </c>
      <c r="B157" s="126">
        <f t="shared" si="6"/>
        <v>72.75</v>
      </c>
      <c r="C157" s="24">
        <f>VLOOKUP(A157,Table1[[Country]:[Country Risk Premium]],5)</f>
        <v>9.1632660909557379E-2</v>
      </c>
      <c r="D157" s="24">
        <f>VLOOKUP(A157,Table1[[Country]:[Country Risk Premium]],4)</f>
        <v>2.863218313701105E-2</v>
      </c>
      <c r="E157" s="24">
        <f t="shared" si="5"/>
        <v>9.1632660909557379E-2</v>
      </c>
      <c r="F157" s="57">
        <f>VLOOKUP(A157,'Country Tax Rates'!$A$2:$B$159,2)</f>
        <v>0.2</v>
      </c>
      <c r="G157" s="57">
        <f>VLOOKUP(A157,Table1[[Country]:[Country Risk Premium]],6)</f>
        <v>4.3932660909557379E-2</v>
      </c>
    </row>
    <row r="158" spans="1:11">
      <c r="A158" s="46" t="str">
        <f>'ERPs by country'!A165</f>
        <v>Zambia</v>
      </c>
      <c r="B158" s="126">
        <f t="shared" si="6"/>
        <v>66.25</v>
      </c>
      <c r="C158" s="24">
        <f>VLOOKUP(A158,Table1[[Country]:[Country Risk Premium]],5)</f>
        <v>0.17915475881531617</v>
      </c>
      <c r="D158" s="24">
        <f>VLOOKUP(A158,Table1[[Country]:[Country Risk Premium]],4)</f>
        <v>8.5672860480275226E-2</v>
      </c>
      <c r="E158" s="24">
        <f t="shared" si="5"/>
        <v>0.17915475881531617</v>
      </c>
      <c r="F158" s="57">
        <f>VLOOKUP(A158,'Country Tax Rates'!$A$2:$B$159,2)</f>
        <v>0.3</v>
      </c>
      <c r="G158" s="57">
        <f>VLOOKUP(A158,Table1[[Country]:[Country Risk Premium]],6)</f>
        <v>0.13145475881531618</v>
      </c>
    </row>
    <row r="159" spans="1:11">
      <c r="A159" s="46"/>
      <c r="B159" s="127"/>
      <c r="C159" s="24"/>
      <c r="D159" s="24"/>
      <c r="E159" s="24"/>
      <c r="F159" s="57"/>
      <c r="G159" s="57"/>
      <c r="H159" s="75"/>
      <c r="J159" s="129" t="s">
        <v>168</v>
      </c>
      <c r="K159" s="130" t="s">
        <v>444</v>
      </c>
    </row>
    <row r="160" spans="1:11">
      <c r="A160" s="46"/>
      <c r="B160" s="127"/>
      <c r="C160" s="24"/>
      <c r="D160" s="24"/>
      <c r="E160" s="24"/>
      <c r="F160" s="57"/>
      <c r="G160" s="57"/>
      <c r="H160" s="75"/>
      <c r="J160" s="131" t="s">
        <v>128</v>
      </c>
      <c r="K160" s="132">
        <v>0.27590666666666669</v>
      </c>
    </row>
    <row r="161" spans="1:11">
      <c r="A161" s="46"/>
      <c r="B161" s="127"/>
      <c r="C161" s="24"/>
      <c r="D161" s="24"/>
      <c r="E161" s="24"/>
      <c r="F161" s="57"/>
      <c r="G161" s="57"/>
      <c r="H161" s="75"/>
      <c r="J161" s="131" t="s">
        <v>129</v>
      </c>
      <c r="K161" s="132">
        <v>0.24047500000000002</v>
      </c>
    </row>
    <row r="162" spans="1:11">
      <c r="A162" s="46" t="s">
        <v>329</v>
      </c>
      <c r="B162" s="126">
        <f t="shared" ref="B162:B183" si="7">VLOOKUP(A162,$N$3:$O$142,2,FALSE)</f>
        <v>67</v>
      </c>
      <c r="C162" s="57"/>
      <c r="D162" s="57">
        <f>G162/'ERPs by country'!$E$6</f>
        <v>4.283643024013762E-2</v>
      </c>
      <c r="E162" s="92">
        <f t="shared" ref="E162:E183" si="8">IF(C162&gt;0,C162,VLOOKUP(B162,$I$3:$K$19,3))</f>
        <v>0.1134273794076581</v>
      </c>
      <c r="F162" s="57">
        <f>VLOOKUP(A162,'Country Tax Rates'!$E$2:$F$176,2,FALSE)</f>
        <v>0.26</v>
      </c>
      <c r="G162" s="57">
        <f>E162-'ERPs by country'!$E$3</f>
        <v>6.5727379407658104E-2</v>
      </c>
      <c r="H162" s="75"/>
      <c r="J162" s="131" t="s">
        <v>53</v>
      </c>
      <c r="K162" s="132">
        <v>0.26</v>
      </c>
    </row>
    <row r="163" spans="1:11">
      <c r="A163" s="46" t="s">
        <v>330</v>
      </c>
      <c r="B163" s="126">
        <f t="shared" si="7"/>
        <v>80.75</v>
      </c>
      <c r="C163" s="57"/>
      <c r="D163" s="57">
        <f>G163/'ERPs by country'!$E$6</f>
        <v>5.7040677343264219E-3</v>
      </c>
      <c r="E163" s="92">
        <f t="shared" si="8"/>
        <v>5.6452209790575886E-2</v>
      </c>
      <c r="F163" s="57">
        <f>K166</f>
        <v>0.14683076923076924</v>
      </c>
      <c r="G163" s="57">
        <f>E163-'ERPs by country'!$E$3</f>
        <v>8.7522097905758864E-3</v>
      </c>
      <c r="H163" s="75"/>
      <c r="J163" s="131" t="s">
        <v>54</v>
      </c>
      <c r="K163" s="132">
        <v>0.1771428571428571</v>
      </c>
    </row>
    <row r="164" spans="1:11">
      <c r="A164" s="46" t="s">
        <v>326</v>
      </c>
      <c r="B164" s="126">
        <f t="shared" si="7"/>
        <v>65.5</v>
      </c>
      <c r="C164" s="57"/>
      <c r="D164" s="57">
        <f>G164/'ERPs by country'!$E$6</f>
        <v>5.2343209797348314E-2</v>
      </c>
      <c r="E164" s="92">
        <f t="shared" si="8"/>
        <v>0.12801439572528456</v>
      </c>
      <c r="F164" s="57">
        <f>VLOOKUP(A164,'Country Tax Rates'!$E$2:$F$176,2,FALSE)</f>
        <v>0.27</v>
      </c>
      <c r="G164" s="57">
        <f>E164-'ERPs by country'!$E$3</f>
        <v>8.0314395725284565E-2</v>
      </c>
      <c r="H164" s="75"/>
      <c r="J164" s="131" t="s">
        <v>51</v>
      </c>
      <c r="K164" s="132">
        <v>0.27131578947368423</v>
      </c>
    </row>
    <row r="165" spans="1:11">
      <c r="A165" s="46" t="s">
        <v>309</v>
      </c>
      <c r="B165" s="126">
        <f t="shared" si="7"/>
        <v>59.5</v>
      </c>
      <c r="C165" s="57"/>
      <c r="D165" s="57">
        <f>G165/'ERPs by country'!$E$6</f>
        <v>8.5672860480275226E-2</v>
      </c>
      <c r="E165" s="92">
        <f t="shared" si="8"/>
        <v>0.17915475881531617</v>
      </c>
      <c r="F165" s="57">
        <f>K160</f>
        <v>0.27590666666666669</v>
      </c>
      <c r="G165" s="57">
        <f>E165-'ERPs by country'!$E$3</f>
        <v>0.13145475881531618</v>
      </c>
      <c r="H165" s="75"/>
      <c r="J165" s="131" t="s">
        <v>125</v>
      </c>
      <c r="K165" s="132">
        <v>0.16423076923076924</v>
      </c>
    </row>
    <row r="166" spans="1:11">
      <c r="A166" s="46" t="s">
        <v>325</v>
      </c>
      <c r="B166" s="126">
        <f t="shared" si="7"/>
        <v>60.75</v>
      </c>
      <c r="C166" s="57"/>
      <c r="D166" s="57">
        <f>G166/'ERPs by country'!$E$6</f>
        <v>7.1356768911769716E-2</v>
      </c>
      <c r="E166" s="92">
        <f t="shared" si="8"/>
        <v>0.15718842836053751</v>
      </c>
      <c r="F166" s="57">
        <f>K160</f>
        <v>0.27590666666666669</v>
      </c>
      <c r="G166" s="57">
        <f>E166-'ERPs by country'!$E$3</f>
        <v>0.10948842836053752</v>
      </c>
      <c r="H166" s="75"/>
      <c r="J166" s="131" t="s">
        <v>127</v>
      </c>
      <c r="K166" s="132">
        <v>0.14683076923076924</v>
      </c>
    </row>
    <row r="167" spans="1:11">
      <c r="A167" s="46" t="s">
        <v>322</v>
      </c>
      <c r="B167" s="126">
        <f t="shared" si="7"/>
        <v>75.5</v>
      </c>
      <c r="C167" s="57"/>
      <c r="D167" s="57">
        <f>G167/'ERPs by country'!$E$6</f>
        <v>1.5210847291537113E-2</v>
      </c>
      <c r="E167" s="92">
        <f t="shared" si="8"/>
        <v>7.1039226108202347E-2</v>
      </c>
      <c r="F167" s="57">
        <f>K164</f>
        <v>0.27131578947368423</v>
      </c>
      <c r="G167" s="57">
        <f>E167-'ERPs by country'!$E$3</f>
        <v>2.3339226108202347E-2</v>
      </c>
      <c r="H167" s="75"/>
      <c r="J167" s="131" t="s">
        <v>130</v>
      </c>
      <c r="K167" s="132">
        <v>0.25570000000000004</v>
      </c>
    </row>
    <row r="168" spans="1:11">
      <c r="A168" s="46" t="s">
        <v>318</v>
      </c>
      <c r="B168" s="126">
        <f t="shared" si="7"/>
        <v>56.75</v>
      </c>
      <c r="C168" s="57"/>
      <c r="D168" s="57">
        <f>G168/'ERPs by country'!$E$6</f>
        <v>9.5179640037485941E-2</v>
      </c>
      <c r="E168" s="92">
        <f t="shared" si="8"/>
        <v>0.19374177513294266</v>
      </c>
      <c r="F168" s="57">
        <f>K163</f>
        <v>0.1771428571428571</v>
      </c>
      <c r="G168" s="57">
        <f>E168-'ERPs by country'!$E$3</f>
        <v>0.14604177513294267</v>
      </c>
      <c r="H168" s="75"/>
      <c r="J168" s="131" t="s">
        <v>126</v>
      </c>
      <c r="K168" s="132">
        <v>0.19943076923076927</v>
      </c>
    </row>
    <row r="169" spans="1:11">
      <c r="A169" s="46" t="s">
        <v>320</v>
      </c>
      <c r="B169" s="126">
        <f t="shared" si="7"/>
        <v>61.25</v>
      </c>
      <c r="C169" s="57"/>
      <c r="D169" s="57">
        <f>G169/'ERPs by country'!$E$6</f>
        <v>7.1356768911769716E-2</v>
      </c>
      <c r="E169" s="92">
        <f t="shared" si="8"/>
        <v>0.15718842836053751</v>
      </c>
      <c r="F169" s="57">
        <f>K166</f>
        <v>0.14683076923076924</v>
      </c>
      <c r="G169" s="57">
        <f>E169-'ERPs by country'!$E$3</f>
        <v>0.10948842836053752</v>
      </c>
      <c r="H169" s="75"/>
      <c r="K169" s="23"/>
    </row>
    <row r="170" spans="1:11">
      <c r="A170" s="46" t="s">
        <v>359</v>
      </c>
      <c r="B170" s="126">
        <f t="shared" si="7"/>
        <v>51</v>
      </c>
      <c r="C170" s="57"/>
      <c r="D170" s="57">
        <f>G170/'ERPs by country'!$E$6</f>
        <v>0.11419319915190733</v>
      </c>
      <c r="E170" s="92">
        <f t="shared" si="8"/>
        <v>0.22291580776819558</v>
      </c>
      <c r="F170" s="57">
        <f>K161</f>
        <v>0.24047500000000002</v>
      </c>
      <c r="G170" s="57">
        <f>E170-'ERPs by country'!$E$3</f>
        <v>0.17521580776819559</v>
      </c>
      <c r="H170" s="75"/>
    </row>
    <row r="171" spans="1:11">
      <c r="A171" s="46" t="s">
        <v>310</v>
      </c>
      <c r="B171" s="126">
        <f t="shared" si="7"/>
        <v>57.75</v>
      </c>
      <c r="C171" s="57"/>
      <c r="D171" s="57">
        <f>G171/'ERPs by country'!$E$6</f>
        <v>8.5672860480275226E-2</v>
      </c>
      <c r="E171" s="92">
        <f t="shared" si="8"/>
        <v>0.17915475881531617</v>
      </c>
      <c r="F171" s="57">
        <f>K160</f>
        <v>0.27590666666666669</v>
      </c>
      <c r="G171" s="57">
        <f>E171-'ERPs by country'!$E$3</f>
        <v>0.13145475881531618</v>
      </c>
      <c r="H171" s="75"/>
    </row>
    <row r="172" spans="1:11">
      <c r="A172" s="46" t="s">
        <v>314</v>
      </c>
      <c r="B172" s="126">
        <f t="shared" si="7"/>
        <v>71.5</v>
      </c>
      <c r="C172" s="57"/>
      <c r="D172" s="57">
        <f>G172/'ERPs by country'!$E$6</f>
        <v>2.863218313701105E-2</v>
      </c>
      <c r="E172" s="92">
        <f t="shared" si="8"/>
        <v>9.1632660909557379E-2</v>
      </c>
      <c r="F172" s="57">
        <f>VLOOKUP(A172,'Country Tax Rates'!$E$2:$F$176,2,FALSE)</f>
        <v>0.24</v>
      </c>
      <c r="G172" s="57">
        <f>E172-'ERPs by country'!$E$3</f>
        <v>4.3932660909557379E-2</v>
      </c>
      <c r="H172" s="75"/>
    </row>
    <row r="173" spans="1:11">
      <c r="A173" s="46" t="s">
        <v>328</v>
      </c>
      <c r="B173" s="126">
        <f t="shared" si="7"/>
        <v>62.5</v>
      </c>
      <c r="C173" s="57"/>
      <c r="D173" s="57">
        <f>G173/'ERPs by country'!$E$6</f>
        <v>6.1849989354559008E-2</v>
      </c>
      <c r="E173" s="92">
        <f t="shared" si="8"/>
        <v>0.14260141204291102</v>
      </c>
      <c r="F173" s="57">
        <f>VLOOKUP(A173,'Country Tax Rates'!$E$2:$F$176,2,FALSE)</f>
        <v>0.2</v>
      </c>
      <c r="G173" s="57">
        <f>E173-'ERPs by country'!$E$3</f>
        <v>9.4901412042911026E-2</v>
      </c>
      <c r="H173" s="75"/>
    </row>
    <row r="174" spans="1:11">
      <c r="A174" s="46" t="s">
        <v>319</v>
      </c>
      <c r="B174" s="126">
        <f t="shared" si="7"/>
        <v>56</v>
      </c>
      <c r="C174" s="57"/>
      <c r="D174" s="57">
        <f>G174/'ERPs by country'!$E$6</f>
        <v>9.5179640037485941E-2</v>
      </c>
      <c r="E174" s="92">
        <f t="shared" si="8"/>
        <v>0.19374177513294266</v>
      </c>
      <c r="F174" s="57">
        <f>VLOOKUP(A174,'Country Tax Rates'!$E$2:$F$176,2,FALSE)</f>
        <v>0.3</v>
      </c>
      <c r="G174" s="57">
        <f>E174-'ERPs by country'!$E$3</f>
        <v>0.14604177513294267</v>
      </c>
      <c r="H174" s="75"/>
    </row>
    <row r="175" spans="1:11">
      <c r="A175" s="46" t="s">
        <v>327</v>
      </c>
      <c r="B175" s="126">
        <f t="shared" si="7"/>
        <v>54.75</v>
      </c>
      <c r="C175" s="57"/>
      <c r="D175" s="57">
        <f>G175/'ERPs by country'!$E$6</f>
        <v>0.11419319915190733</v>
      </c>
      <c r="E175" s="92">
        <f t="shared" si="8"/>
        <v>0.22291580776819558</v>
      </c>
      <c r="F175" s="57">
        <f>VLOOKUP(A175,'Country Tax Rates'!$E$2:$F$176,2,FALSE)</f>
        <v>0.22</v>
      </c>
      <c r="G175" s="57">
        <f>E175-'ERPs by country'!$E$3</f>
        <v>0.17521580776819559</v>
      </c>
      <c r="H175" s="75"/>
    </row>
    <row r="176" spans="1:11">
      <c r="A176" s="46" t="s">
        <v>1</v>
      </c>
      <c r="B176" s="126">
        <f t="shared" si="7"/>
        <v>70.25</v>
      </c>
      <c r="C176" s="57"/>
      <c r="D176" s="57">
        <f>G176/'ERPs by country'!$E$6</f>
        <v>2.863218313701105E-2</v>
      </c>
      <c r="E176" s="92">
        <f>IF(C176&gt;0,C176,VLOOKUP(B176,$I$3:$K$19,3))</f>
        <v>9.1632660909557379E-2</v>
      </c>
      <c r="F176" s="57">
        <f>VLOOKUP(A176,'Country Tax Rates'!$E$2:$F$176,2,FALSE)</f>
        <v>0.2</v>
      </c>
      <c r="G176" s="57">
        <f>E176-'ERPs by country'!$E$3</f>
        <v>4.3932660909557379E-2</v>
      </c>
      <c r="H176" s="75"/>
    </row>
    <row r="177" spans="1:8">
      <c r="A177" s="46" t="s">
        <v>321</v>
      </c>
      <c r="B177" s="126">
        <f t="shared" si="7"/>
        <v>62.75</v>
      </c>
      <c r="C177" s="57"/>
      <c r="D177" s="57">
        <f>G177/'ERPs by country'!$E$6</f>
        <v>6.1849989354559008E-2</v>
      </c>
      <c r="E177" s="92">
        <f t="shared" si="8"/>
        <v>0.14260141204291102</v>
      </c>
      <c r="F177" s="57">
        <f>VLOOKUP(A177,'Country Tax Rates'!$E$2:$F$176,2,FALSE)</f>
        <v>0.25</v>
      </c>
      <c r="G177" s="57">
        <f>E177-'ERPs by country'!$E$3</f>
        <v>9.4901412042911026E-2</v>
      </c>
      <c r="H177" s="75"/>
    </row>
    <row r="178" spans="1:8">
      <c r="A178" s="46" t="s">
        <v>307</v>
      </c>
      <c r="B178" s="126">
        <f t="shared" si="7"/>
        <v>55.5</v>
      </c>
      <c r="C178" s="57"/>
      <c r="D178" s="57">
        <f>G178/'ERPs by country'!$E$6</f>
        <v>9.5179640037485941E-2</v>
      </c>
      <c r="E178" s="92">
        <f t="shared" si="8"/>
        <v>0.19374177513294266</v>
      </c>
      <c r="F178" s="57">
        <f>K160</f>
        <v>0.27590666666666669</v>
      </c>
      <c r="G178" s="57">
        <f>E178-'ERPs by country'!$E$3</f>
        <v>0.14604177513294267</v>
      </c>
      <c r="H178" s="75"/>
    </row>
    <row r="179" spans="1:8">
      <c r="A179" s="46" t="s">
        <v>311</v>
      </c>
      <c r="B179" s="126">
        <f t="shared" si="7"/>
        <v>47.75</v>
      </c>
      <c r="C179" s="57"/>
      <c r="D179" s="57">
        <f>G179/'ERPs by country'!$E$6</f>
        <v>0.17499999999999999</v>
      </c>
      <c r="E179" s="92">
        <f t="shared" si="8"/>
        <v>0.31621657180253437</v>
      </c>
      <c r="F179" s="57">
        <f>VLOOKUP(A179,'Country Tax Rates'!$E$2:$F$176,2,FALSE)</f>
        <v>0.35</v>
      </c>
      <c r="G179" s="57">
        <f>E179-'ERPs by country'!$E$3</f>
        <v>0.26851657180253435</v>
      </c>
    </row>
    <row r="180" spans="1:8">
      <c r="A180" s="46" t="s">
        <v>308</v>
      </c>
      <c r="B180" s="126">
        <f t="shared" si="7"/>
        <v>51.5</v>
      </c>
      <c r="C180" s="57"/>
      <c r="D180" s="57">
        <f>G180/'ERPs by country'!$E$6</f>
        <v>0.11419319915190733</v>
      </c>
      <c r="E180" s="92">
        <f t="shared" si="8"/>
        <v>0.22291580776819558</v>
      </c>
      <c r="F180" s="57">
        <f>VLOOKUP(A180,'Country Tax Rates'!$E$2:$F$176,2,FALSE)</f>
        <v>0.28000000000000003</v>
      </c>
      <c r="G180" s="57">
        <f>E180-'ERPs by country'!$E$3</f>
        <v>0.17521580776819559</v>
      </c>
    </row>
    <row r="181" spans="1:8">
      <c r="A181" s="46" t="s">
        <v>68</v>
      </c>
      <c r="B181" s="126">
        <f t="shared" si="7"/>
        <v>57</v>
      </c>
      <c r="C181" s="57"/>
      <c r="D181" s="57">
        <f>G181/'ERPs by country'!$E$6</f>
        <v>9.5179640037485941E-2</v>
      </c>
      <c r="E181" s="92">
        <f t="shared" si="8"/>
        <v>0.19374177513294266</v>
      </c>
      <c r="F181" s="57">
        <f>VLOOKUP(A181,'Country Tax Rates'!$E$2:$F$176,2,FALSE)</f>
        <v>0.18</v>
      </c>
      <c r="G181" s="57">
        <f>E181-'ERPs by country'!$E$3</f>
        <v>0.14604177513294267</v>
      </c>
    </row>
    <row r="182" spans="1:8">
      <c r="A182" s="46" t="s">
        <v>315</v>
      </c>
      <c r="B182" s="126">
        <f t="shared" si="7"/>
        <v>51.75</v>
      </c>
      <c r="C182" s="57"/>
      <c r="D182" s="57">
        <f>G182/'ERPs by country'!$E$6</f>
        <v>0.11419319915190733</v>
      </c>
      <c r="E182" s="92">
        <f t="shared" si="8"/>
        <v>0.22291580776819558</v>
      </c>
      <c r="F182" s="57">
        <f>K160</f>
        <v>0.27590666666666669</v>
      </c>
      <c r="G182" s="57">
        <f>E182-'ERPs by country'!$E$3</f>
        <v>0.17521580776819559</v>
      </c>
    </row>
    <row r="183" spans="1:8">
      <c r="A183" s="46" t="s">
        <v>312</v>
      </c>
      <c r="B183" s="126">
        <f t="shared" si="7"/>
        <v>58.5</v>
      </c>
      <c r="C183" s="57"/>
      <c r="D183" s="57">
        <f>G183/'ERPs by country'!$E$6</f>
        <v>8.5672860480275226E-2</v>
      </c>
      <c r="E183" s="92">
        <f t="shared" si="8"/>
        <v>0.17915475881531617</v>
      </c>
      <c r="F183" s="57">
        <f>VLOOKUP(A183,'Country Tax Rates'!$E$2:$F$176,2,FALSE)</f>
        <v>0.2472</v>
      </c>
      <c r="G183" s="57">
        <f>E183-'ERPs by country'!$E$3</f>
        <v>0.13145475881531618</v>
      </c>
    </row>
    <row r="184" spans="1:8" ht="13">
      <c r="A184"/>
      <c r="B184" s="79"/>
      <c r="C184" s="25"/>
      <c r="D184"/>
    </row>
  </sheetData>
  <sortState xmlns:xlrd2="http://schemas.microsoft.com/office/spreadsheetml/2017/richdata2" ref="N2:O184">
    <sortCondition ref="N2:N184"/>
  </sortState>
  <mergeCells count="1">
    <mergeCell ref="I1:J1"/>
  </mergeCells>
  <pageMargins left="0.75" right="0.75" top="1" bottom="1" header="0.5" footer="0.5"/>
  <pageSetup orientation="portrait" horizontalDpi="4294967292" verticalDpi="429496729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9"/>
  <sheetViews>
    <sheetView workbookViewId="0">
      <selection activeCell="A8" sqref="A8"/>
    </sheetView>
  </sheetViews>
  <sheetFormatPr baseColWidth="10" defaultRowHeight="13"/>
  <sheetData>
    <row r="1" spans="1:1">
      <c r="A1" t="s">
        <v>456</v>
      </c>
    </row>
    <row r="2" spans="1:1">
      <c r="A2" t="s">
        <v>457</v>
      </c>
    </row>
    <row r="3" spans="1:1">
      <c r="A3" t="s">
        <v>458</v>
      </c>
    </row>
    <row r="4" spans="1:1">
      <c r="A4" t="s">
        <v>459</v>
      </c>
    </row>
    <row r="5" spans="1:1">
      <c r="A5" t="s">
        <v>460</v>
      </c>
    </row>
    <row r="6" spans="1:1">
      <c r="A6" t="s">
        <v>461</v>
      </c>
    </row>
    <row r="7" spans="1:1">
      <c r="A7" t="s">
        <v>462</v>
      </c>
    </row>
    <row r="8" spans="1:1">
      <c r="A8" t="s">
        <v>463</v>
      </c>
    </row>
    <row r="9" spans="1:1">
      <c r="A9" t="s">
        <v>464</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C479C-4D1C-8445-8E38-2807E345CAB9}">
  <dimension ref="A1:B8"/>
  <sheetViews>
    <sheetView workbookViewId="0">
      <selection activeCell="B25" sqref="B25"/>
    </sheetView>
  </sheetViews>
  <sheetFormatPr baseColWidth="10" defaultRowHeight="16"/>
  <cols>
    <col min="1" max="1" width="33" style="180" customWidth="1"/>
    <col min="2" max="2" width="92" style="184" customWidth="1"/>
  </cols>
  <sheetData>
    <row r="1" spans="1:2" ht="17">
      <c r="A1" s="181"/>
      <c r="B1" s="183" t="s">
        <v>524</v>
      </c>
    </row>
    <row r="2" spans="1:2" ht="102" customHeight="1">
      <c r="A2" s="182" t="s">
        <v>521</v>
      </c>
      <c r="B2" s="240" t="s">
        <v>637</v>
      </c>
    </row>
    <row r="3" spans="1:2" ht="17" customHeight="1">
      <c r="A3" s="182" t="s">
        <v>640</v>
      </c>
      <c r="B3" s="240" t="s">
        <v>638</v>
      </c>
    </row>
    <row r="4" spans="1:2" ht="17" customHeight="1">
      <c r="A4" s="182" t="s">
        <v>641</v>
      </c>
      <c r="B4" s="240" t="s">
        <v>639</v>
      </c>
    </row>
    <row r="5" spans="1:2" ht="34">
      <c r="A5" s="182" t="s">
        <v>522</v>
      </c>
      <c r="B5" s="241" t="s">
        <v>525</v>
      </c>
    </row>
    <row r="6" spans="1:2" ht="48" customHeight="1">
      <c r="A6" s="182" t="s">
        <v>523</v>
      </c>
      <c r="B6" s="241" t="s">
        <v>642</v>
      </c>
    </row>
    <row r="7" spans="1:2" ht="119">
      <c r="A7" s="182" t="s">
        <v>520</v>
      </c>
      <c r="B7" s="241" t="s">
        <v>643</v>
      </c>
    </row>
    <row r="8" spans="1:2" ht="51">
      <c r="A8" s="181" t="s">
        <v>526</v>
      </c>
      <c r="B8" s="241" t="s">
        <v>527</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B13" sqref="B13"/>
    </sheetView>
  </sheetViews>
  <sheetFormatPr baseColWidth="10" defaultRowHeight="16"/>
  <cols>
    <col min="1" max="1" width="35.6640625" style="38" bestFit="1" customWidth="1"/>
    <col min="2" max="2" width="22" customWidth="1"/>
  </cols>
  <sheetData>
    <row r="1" spans="1:4" s="37" customFormat="1" ht="19">
      <c r="A1" s="37" t="s">
        <v>253</v>
      </c>
    </row>
    <row r="2" spans="1:4">
      <c r="A2" s="38" t="s">
        <v>75</v>
      </c>
      <c r="B2" s="39" t="s">
        <v>345</v>
      </c>
      <c r="D2" s="1" t="s">
        <v>331</v>
      </c>
    </row>
    <row r="3" spans="1:4">
      <c r="B3" s="38"/>
      <c r="D3" s="1" t="s">
        <v>332</v>
      </c>
    </row>
    <row r="4" spans="1:4">
      <c r="A4" s="38" t="s">
        <v>256</v>
      </c>
      <c r="B4" s="41" t="str">
        <f>VLOOKUP(B2,'Ratings worksheet'!$A$2:$C$159,3, FALSE)</f>
        <v>Aa1</v>
      </c>
      <c r="C4" t="s">
        <v>258</v>
      </c>
    </row>
    <row r="5" spans="1:4">
      <c r="A5" s="38" t="s">
        <v>257</v>
      </c>
      <c r="B5" s="41" t="str">
        <f>VLOOKUP(B2,'Ratings worksheet'!$A$2:$C$159,2, FALSE)</f>
        <v>AA+</v>
      </c>
      <c r="C5" t="s">
        <v>258</v>
      </c>
    </row>
    <row r="6" spans="1:4">
      <c r="A6" s="38" t="s">
        <v>255</v>
      </c>
      <c r="B6" s="42">
        <f>VLOOKUP(B2,'10-year CDS Spreads'!A2:D158,3, FALSE)</f>
        <v>5.7000000000000002E-3</v>
      </c>
    </row>
    <row r="7" spans="1:4">
      <c r="A7" s="38" t="s">
        <v>554</v>
      </c>
      <c r="B7" s="42">
        <f>IF(B6="NA","NA",VLOOKUP(B2,'ERPs by country'!A9:I165,9,FALSE)/'ERPs by country'!E6)</f>
        <v>4.0000000000000001E-3</v>
      </c>
    </row>
    <row r="8" spans="1:4">
      <c r="B8" s="40"/>
    </row>
    <row r="9" spans="1:4">
      <c r="A9" s="38" t="s">
        <v>340</v>
      </c>
      <c r="B9" s="76">
        <f>VLOOKUP(B2,'ERPs by country'!A9:I165,4,FALSE)</f>
        <v>2.6131717269259457E-3</v>
      </c>
    </row>
    <row r="10" spans="1:4">
      <c r="A10" s="38" t="s">
        <v>259</v>
      </c>
      <c r="B10" s="42">
        <f>VLOOKUP(B2,'ERPs by country'!A9:I165,6,FALSE)</f>
        <v>2.6131717269259457E-3</v>
      </c>
    </row>
    <row r="11" spans="1:4">
      <c r="A11" s="38" t="s">
        <v>260</v>
      </c>
      <c r="B11" s="42">
        <f>VLOOKUP(B2,'ERPs by country'!A9:I165,5,FALSE)</f>
        <v>5.0299999999999997E-2</v>
      </c>
    </row>
    <row r="12" spans="1:4">
      <c r="B12" s="40"/>
    </row>
    <row r="13" spans="1:4">
      <c r="A13" s="38" t="s">
        <v>261</v>
      </c>
      <c r="B13" s="42">
        <f>VLOOKUP(B2,'ERPs by country'!A9:I165,9,FALSE)</f>
        <v>6.1375216412007851E-3</v>
      </c>
    </row>
    <row r="14" spans="1:4">
      <c r="A14" s="38" t="s">
        <v>262</v>
      </c>
      <c r="B14" s="42">
        <f>VLOOKUP(B2,'ERPs by country'!A9:I165,8,FALSE)</f>
        <v>5.3837521641200786E-2</v>
      </c>
    </row>
    <row r="16" spans="1:4" ht="19">
      <c r="A16" s="37" t="s">
        <v>254</v>
      </c>
    </row>
    <row r="17" spans="1:2">
      <c r="A17" s="38" t="s">
        <v>52</v>
      </c>
      <c r="B17" s="43" t="s">
        <v>129</v>
      </c>
    </row>
    <row r="19" spans="1:2">
      <c r="A19" s="38" t="s">
        <v>274</v>
      </c>
      <c r="B19" s="44">
        <f>VLOOKUP(B17,'Regional Simple Averages'!$A$5:$E$13,3,FALSE)</f>
        <v>5.4522548736226389E-2</v>
      </c>
    </row>
    <row r="20" spans="1:2">
      <c r="A20" s="38" t="s">
        <v>275</v>
      </c>
      <c r="B20" s="44">
        <f>VLOOKUP(B17,'Regional Simple Averages'!$A$5:$E$13,4,FALSE)</f>
        <v>0.10222254873622638</v>
      </c>
    </row>
    <row r="22" spans="1:2">
      <c r="A22" s="38" t="s">
        <v>263</v>
      </c>
      <c r="B22" s="44">
        <f>VLOOKUP(B17,'Regional Weighted Averages'!A171:C179,3,FALSE)</f>
        <v>1.6831201759550263E-2</v>
      </c>
    </row>
    <row r="23" spans="1:2">
      <c r="A23" s="38" t="s">
        <v>264</v>
      </c>
      <c r="B23" s="44">
        <f>VLOOKUP(B17,'Regional Weighted Averages'!A171:C179,2,FALSE)</f>
        <v>6.4531201759550266E-2</v>
      </c>
    </row>
    <row r="25" spans="1:2">
      <c r="A25" s="59" t="s">
        <v>341</v>
      </c>
    </row>
    <row r="27" spans="1:2" s="88" customFormat="1" ht="19">
      <c r="A27" s="37" t="s">
        <v>360</v>
      </c>
    </row>
    <row r="28" spans="1:2">
      <c r="A28" s="38" t="s">
        <v>75</v>
      </c>
      <c r="B28" s="39" t="s">
        <v>312</v>
      </c>
    </row>
    <row r="30" spans="1:2">
      <c r="A30" s="38" t="s">
        <v>338</v>
      </c>
      <c r="B30" s="86">
        <f>VLOOKUP(B28,'PRS Worksheet'!A162:E183,2,FALSE)</f>
        <v>58.5</v>
      </c>
    </row>
    <row r="31" spans="1:2">
      <c r="A31" s="38" t="s">
        <v>361</v>
      </c>
      <c r="B31" s="87">
        <f>VLOOKUP(B28,'PRS Worksheet'!A162:E183,5,FALSE)</f>
        <v>0.17915475881531617</v>
      </c>
    </row>
  </sheetData>
  <pageMargins left="0.75" right="0.75" top="1" bottom="1" header="0.5" footer="0.5"/>
  <pageSetup orientation="portrait" horizontalDpi="4294967292" verticalDpi="4294967292"/>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331B5B12-FF4C-C545-A9D1-02A4411FDF3A}">
          <x14:formula1>
            <xm:f>'Regional Weighted Averages'!$A$171:$A$179</xm:f>
          </x14:formula1>
          <xm:sqref>B17</xm:sqref>
        </x14:dataValidation>
        <x14:dataValidation type="list" allowBlank="1" showInputMessage="1" showErrorMessage="1" xr:uid="{FB10E05C-E029-A140-80E1-F8D8E47D1502}">
          <x14:formula1>
            <xm:f>'ERPs by country'!$A$169:$A$188</xm:f>
          </x14:formula1>
          <xm:sqref>B28</xm:sqref>
        </x14:dataValidation>
        <x14:dataValidation type="list" allowBlank="1" showInputMessage="1" showErrorMessage="1" xr:uid="{9A054817-EA37-CA4A-BFFC-C44EDB6606F2}">
          <x14:formula1>
            <xm:f>'ERPs by country'!$A$9:$A$165</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12"/>
  <sheetViews>
    <sheetView topLeftCell="A155" zoomScale="87" zoomScaleNormal="87" workbookViewId="0">
      <selection activeCell="A187" sqref="A187"/>
    </sheetView>
  </sheetViews>
  <sheetFormatPr baseColWidth="10" defaultRowHeight="13"/>
  <cols>
    <col min="1" max="1" width="35.83203125" style="19" customWidth="1"/>
    <col min="2" max="2" width="25.83203125" style="19" customWidth="1"/>
    <col min="3" max="3" width="25.83203125" customWidth="1"/>
    <col min="4" max="4" width="26.6640625" customWidth="1"/>
    <col min="5" max="5" width="25.83203125" customWidth="1"/>
    <col min="6" max="6" width="21.83203125" customWidth="1"/>
    <col min="7" max="7" width="24.1640625" customWidth="1"/>
    <col min="8" max="8" width="26.5" customWidth="1"/>
    <col min="9" max="9" width="22.83203125" customWidth="1"/>
  </cols>
  <sheetData>
    <row r="1" spans="1:12" ht="16">
      <c r="A1" s="102" t="s">
        <v>449</v>
      </c>
      <c r="B1" s="102"/>
      <c r="C1" s="6"/>
      <c r="D1" s="6"/>
      <c r="E1" s="6"/>
      <c r="F1" s="6"/>
      <c r="G1" s="6"/>
      <c r="H1" s="6"/>
      <c r="I1" s="6"/>
      <c r="J1" s="6"/>
      <c r="K1" s="6"/>
      <c r="L1" s="6"/>
    </row>
    <row r="2" spans="1:12" ht="16">
      <c r="A2" s="5" t="s">
        <v>450</v>
      </c>
      <c r="B2" s="152">
        <v>44651</v>
      </c>
      <c r="C2" s="102" t="s">
        <v>645</v>
      </c>
      <c r="D2" s="3"/>
      <c r="E2" s="3"/>
      <c r="F2" s="3"/>
      <c r="G2" s="3"/>
      <c r="H2" s="3"/>
      <c r="I2" s="3"/>
      <c r="J2" s="3"/>
      <c r="K2" s="3"/>
      <c r="L2" s="3"/>
    </row>
    <row r="3" spans="1:12">
      <c r="A3" s="19" t="s">
        <v>72</v>
      </c>
      <c r="E3" s="12">
        <v>4.7699999999999999E-2</v>
      </c>
      <c r="F3" s="1" t="s">
        <v>550</v>
      </c>
    </row>
    <row r="4" spans="1:12">
      <c r="A4" s="19" t="s">
        <v>634</v>
      </c>
      <c r="E4" s="12">
        <v>5.0299999999999997E-2</v>
      </c>
      <c r="F4" s="1" t="s">
        <v>635</v>
      </c>
    </row>
    <row r="5" spans="1:12">
      <c r="A5" s="19" t="s">
        <v>141</v>
      </c>
      <c r="E5" s="13" t="s">
        <v>73</v>
      </c>
      <c r="F5" s="18"/>
      <c r="G5" s="18"/>
    </row>
    <row r="6" spans="1:12">
      <c r="A6" s="19" t="s">
        <v>142</v>
      </c>
      <c r="E6" s="84">
        <f>'Relative Equity Volatility'!D7</f>
        <v>1.5343804103001963</v>
      </c>
      <c r="F6" s="94" t="s">
        <v>538</v>
      </c>
      <c r="G6" s="18"/>
    </row>
    <row r="8" spans="1:12" s="2" customFormat="1" ht="34">
      <c r="A8" s="106" t="s">
        <v>75</v>
      </c>
      <c r="B8" s="107" t="s">
        <v>128</v>
      </c>
      <c r="C8" s="108" t="s">
        <v>267</v>
      </c>
      <c r="D8" s="109" t="s">
        <v>139</v>
      </c>
      <c r="E8" s="109" t="s">
        <v>140</v>
      </c>
      <c r="F8" s="109" t="s">
        <v>37</v>
      </c>
      <c r="G8" s="110" t="s">
        <v>555</v>
      </c>
      <c r="H8" s="109" t="s">
        <v>420</v>
      </c>
      <c r="I8" s="111" t="s">
        <v>421</v>
      </c>
      <c r="J8" s="1" t="s">
        <v>38</v>
      </c>
    </row>
    <row r="9" spans="1:12" ht="16">
      <c r="A9" s="105" t="str">
        <f>'Sovereign Ratings (Moody''s,S&amp;P)'!A2</f>
        <v>Abu Dhabi</v>
      </c>
      <c r="B9" s="101" t="str">
        <f>VLOOKUP(A9,'Regional lookup table'!$A$2:$B$162,2,FALSE)</f>
        <v>Middle East</v>
      </c>
      <c r="C9" s="9" t="str">
        <f>VLOOKUP(A9,'Sovereign Ratings (Moody''s,S&amp;P)'!$A$2:$D$158,4,FALSE)</f>
        <v>Aa2</v>
      </c>
      <c r="D9" s="21">
        <f>VLOOKUP(C9,$J$10:$K$32,2,FALSE)/10000</f>
        <v>4.6974675459158736E-3</v>
      </c>
      <c r="E9" s="21">
        <f>$E$3+F9</f>
        <v>5.4907702180474256E-2</v>
      </c>
      <c r="F9" s="11">
        <f>IF($E$5="Yes",D9*$E$6,D9)</f>
        <v>7.2077021804742543E-3</v>
      </c>
      <c r="G9" s="139">
        <f>VLOOKUP(A9,'10-year CDS Spreads'!$A$2:$D$158,4,FALSE)</f>
        <v>7.4000000000000003E-3</v>
      </c>
      <c r="H9" s="11">
        <f>IF(I9="NA","NA",$E$3+I9)</f>
        <v>5.9054415036221455E-2</v>
      </c>
      <c r="I9" s="14">
        <f>IF(G9="NA","NA",G9*$E$6)</f>
        <v>1.1354415036221453E-2</v>
      </c>
      <c r="J9" s="17" t="s">
        <v>39</v>
      </c>
      <c r="K9" s="17" t="s">
        <v>40</v>
      </c>
    </row>
    <row r="10" spans="1:12" ht="16">
      <c r="A10" s="105" t="str">
        <f>'Sovereign Ratings (Moody''s,S&amp;P)'!A3</f>
        <v>Albania</v>
      </c>
      <c r="B10" s="101" t="str">
        <f>VLOOKUP(A10,'Regional lookup table'!$A$2:$B$162,2,FALSE)</f>
        <v>Eastern Europe &amp; Russia</v>
      </c>
      <c r="C10" s="9" t="str">
        <f>VLOOKUP(A10,'Sovereign Ratings (Moody''s,S&amp;P)'!$A$2:$D$158,4,FALSE)</f>
        <v>Ba3</v>
      </c>
      <c r="D10" s="21">
        <f t="shared" ref="D10:D73" si="0">VLOOKUP(C10,$J$10:$K$32,2,FALSE)/10000</f>
        <v>3.4224406405958516E-2</v>
      </c>
      <c r="E10" s="21">
        <f t="shared" ref="E10:E73" si="1">$E$3+F10</f>
        <v>0.1002132587434553</v>
      </c>
      <c r="F10" s="11">
        <f t="shared" ref="F10:F73" si="2">IF($E$5="Yes",D10*$E$6,D10)</f>
        <v>5.2513258743455297E-2</v>
      </c>
      <c r="G10" s="139" t="str">
        <f>VLOOKUP(A10,'10-year CDS Spreads'!$A$2:$D$158,4,FALSE)</f>
        <v>NA</v>
      </c>
      <c r="H10" s="11" t="str">
        <f t="shared" ref="H10:H73" si="3">IF(I10="NA","NA",$E$3+I10)</f>
        <v>NA</v>
      </c>
      <c r="I10" s="14" t="str">
        <f t="shared" ref="I10:I73" si="4">IF(G10="NA","NA",G10*$E$6)</f>
        <v>NA</v>
      </c>
      <c r="J10" s="4" t="s">
        <v>41</v>
      </c>
      <c r="K10" s="146">
        <f t="shared" ref="K10:K31" si="5">C191</f>
        <v>67.106679227369654</v>
      </c>
    </row>
    <row r="11" spans="1:12" ht="16">
      <c r="A11" s="105" t="str">
        <f>'Sovereign Ratings (Moody''s,S&amp;P)'!A4</f>
        <v>Andorra (Principality of)</v>
      </c>
      <c r="B11" s="101" t="str">
        <f>VLOOKUP(A11,'Regional lookup table'!$A$2:$B$162,2,FALSE)</f>
        <v>Western Europe</v>
      </c>
      <c r="C11" s="9" t="str">
        <f>VLOOKUP(A11,'Sovereign Ratings (Moody''s,S&amp;P)'!$A$2:$D$158,4,FALSE)</f>
        <v>Baa1</v>
      </c>
      <c r="D11" s="21">
        <f t="shared" si="0"/>
        <v>1.5210847291537115E-2</v>
      </c>
      <c r="E11" s="21">
        <f t="shared" si="1"/>
        <v>7.1039226108202347E-2</v>
      </c>
      <c r="F11" s="11">
        <f t="shared" si="2"/>
        <v>2.3339226108202347E-2</v>
      </c>
      <c r="G11" s="139" t="str">
        <f>VLOOKUP(A11,'10-year CDS Spreads'!$A$2:$D$158,4,FALSE)</f>
        <v>NA</v>
      </c>
      <c r="H11" s="11" t="str">
        <f t="shared" si="3"/>
        <v>NA</v>
      </c>
      <c r="I11" s="14" t="str">
        <f t="shared" si="4"/>
        <v>NA</v>
      </c>
      <c r="J11" s="4" t="s">
        <v>42</v>
      </c>
      <c r="K11" s="146">
        <f t="shared" si="5"/>
        <v>80.528015072843559</v>
      </c>
    </row>
    <row r="12" spans="1:12" ht="16">
      <c r="A12" s="105" t="str">
        <f>'Sovereign Ratings (Moody''s,S&amp;P)'!A5</f>
        <v>Angola</v>
      </c>
      <c r="B12" s="101" t="str">
        <f>VLOOKUP(A12,'Regional lookup table'!$A$2:$B$162,2,FALSE)</f>
        <v>Africa</v>
      </c>
      <c r="C12" s="9" t="str">
        <f>VLOOKUP(A12,'Sovereign Ratings (Moody''s,S&amp;P)'!$A$2:$D$158,4,FALSE)</f>
        <v>B3</v>
      </c>
      <c r="D12" s="21">
        <f t="shared" si="0"/>
        <v>6.1849989354559008E-2</v>
      </c>
      <c r="E12" s="21">
        <f t="shared" si="1"/>
        <v>0.14260141204291102</v>
      </c>
      <c r="F12" s="11">
        <f t="shared" si="2"/>
        <v>9.4901412042911026E-2</v>
      </c>
      <c r="G12" s="139">
        <f>VLOOKUP(A12,'10-year CDS Spreads'!$A$2:$D$158,4,FALSE)</f>
        <v>6.5200000000000008E-2</v>
      </c>
      <c r="H12" s="11">
        <f t="shared" si="3"/>
        <v>0.1477416027515728</v>
      </c>
      <c r="I12" s="14">
        <f t="shared" si="4"/>
        <v>0.10004160275157281</v>
      </c>
      <c r="J12" s="4" t="s">
        <v>43</v>
      </c>
      <c r="K12" s="146">
        <f t="shared" si="5"/>
        <v>114.08135468652839</v>
      </c>
    </row>
    <row r="13" spans="1:12" ht="16">
      <c r="A13" s="105" t="str">
        <f>'Sovereign Ratings (Moody''s,S&amp;P)'!A6</f>
        <v>Argentina</v>
      </c>
      <c r="B13" s="101" t="str">
        <f>VLOOKUP(A13,'Regional lookup table'!$A$2:$B$162,2,FALSE)</f>
        <v>Central and South America</v>
      </c>
      <c r="C13" s="9" t="str">
        <f>VLOOKUP(A13,'Sovereign Ratings (Moody''s,S&amp;P)'!$A$2:$D$158,4,FALSE)</f>
        <v>Caa1</v>
      </c>
      <c r="D13" s="21">
        <f t="shared" si="0"/>
        <v>7.1356768911769716E-2</v>
      </c>
      <c r="E13" s="21">
        <f t="shared" si="1"/>
        <v>0.15718842836053751</v>
      </c>
      <c r="F13" s="11">
        <f t="shared" si="2"/>
        <v>0.10948842836053752</v>
      </c>
      <c r="G13" s="139" t="str">
        <f>VLOOKUP(A13,'10-year CDS Spreads'!$A$2:$D$158,4,FALSE)</f>
        <v>NA</v>
      </c>
      <c r="H13" s="11" t="str">
        <f t="shared" si="3"/>
        <v>NA</v>
      </c>
      <c r="I13" s="14" t="str">
        <f t="shared" si="4"/>
        <v>NA</v>
      </c>
      <c r="J13" s="4" t="s">
        <v>44</v>
      </c>
      <c r="K13" s="146">
        <f t="shared" si="5"/>
        <v>26.131717269259457</v>
      </c>
    </row>
    <row r="14" spans="1:12" ht="16">
      <c r="A14" s="105" t="str">
        <f>'Sovereign Ratings (Moody''s,S&amp;P)'!A7</f>
        <v>Armenia</v>
      </c>
      <c r="B14" s="101" t="str">
        <f>VLOOKUP(A14,'Regional lookup table'!$A$2:$B$162,2,FALSE)</f>
        <v>Eastern Europe &amp; Russia</v>
      </c>
      <c r="C14" s="9" t="str">
        <f>VLOOKUP(A14,'Sovereign Ratings (Moody''s,S&amp;P)'!$A$2:$D$158,4,FALSE)</f>
        <v>Ba3</v>
      </c>
      <c r="D14" s="21">
        <f t="shared" si="0"/>
        <v>3.4224406405958516E-2</v>
      </c>
      <c r="E14" s="21">
        <f t="shared" si="1"/>
        <v>0.1002132587434553</v>
      </c>
      <c r="F14" s="11">
        <f t="shared" si="2"/>
        <v>5.2513258743455297E-2</v>
      </c>
      <c r="G14" s="139" t="str">
        <f>VLOOKUP(A14,'10-year CDS Spreads'!$A$2:$D$158,4,FALSE)</f>
        <v>NA</v>
      </c>
      <c r="H14" s="11" t="str">
        <f t="shared" si="3"/>
        <v>NA</v>
      </c>
      <c r="I14" s="14" t="str">
        <f t="shared" si="4"/>
        <v>NA</v>
      </c>
      <c r="J14" s="4" t="s">
        <v>45</v>
      </c>
      <c r="K14" s="146">
        <f t="shared" si="5"/>
        <v>46.974675459158739</v>
      </c>
    </row>
    <row r="15" spans="1:12" ht="16">
      <c r="A15" s="105" t="str">
        <f>'Sovereign Ratings (Moody''s,S&amp;P)'!A8</f>
        <v>Aruba</v>
      </c>
      <c r="B15" s="101" t="str">
        <f>VLOOKUP(A15,'Regional lookup table'!$A$2:$B$162,2,FALSE)</f>
        <v>Caribbean</v>
      </c>
      <c r="C15" s="9" t="str">
        <f>VLOOKUP(A15,'Sovereign Ratings (Moody''s,S&amp;P)'!$A$2:$D$158,4,FALSE)</f>
        <v>Baa3</v>
      </c>
      <c r="D15" s="21">
        <f t="shared" si="0"/>
        <v>2.091491502586354E-2</v>
      </c>
      <c r="E15" s="21">
        <f t="shared" si="1"/>
        <v>7.979143589877824E-2</v>
      </c>
      <c r="F15" s="11">
        <f t="shared" si="2"/>
        <v>3.2091435898778241E-2</v>
      </c>
      <c r="G15" s="139" t="str">
        <f>VLOOKUP(A15,'10-year CDS Spreads'!$A$2:$D$158,4,FALSE)</f>
        <v>NA</v>
      </c>
      <c r="H15" s="11" t="str">
        <f t="shared" si="3"/>
        <v>NA</v>
      </c>
      <c r="I15" s="14" t="str">
        <f t="shared" si="4"/>
        <v>NA</v>
      </c>
      <c r="J15" s="4" t="s">
        <v>46</v>
      </c>
      <c r="K15" s="146">
        <f t="shared" si="5"/>
        <v>57.040677343264193</v>
      </c>
    </row>
    <row r="16" spans="1:12" ht="16">
      <c r="A16" s="105" t="str">
        <f>'Sovereign Ratings (Moody''s,S&amp;P)'!A9</f>
        <v>Australia</v>
      </c>
      <c r="B16" s="101" t="str">
        <f>VLOOKUP(A16,'Regional lookup table'!$A$2:$B$162,2,FALSE)</f>
        <v>Australia &amp; New Zealand</v>
      </c>
      <c r="C16" s="9" t="str">
        <f>VLOOKUP(A16,'Sovereign Ratings (Moody''s,S&amp;P)'!$A$2:$D$158,4,FALSE)</f>
        <v>Aaa</v>
      </c>
      <c r="D16" s="21">
        <f t="shared" si="0"/>
        <v>0</v>
      </c>
      <c r="E16" s="21">
        <f t="shared" si="1"/>
        <v>4.7699999999999999E-2</v>
      </c>
      <c r="F16" s="11">
        <f t="shared" si="2"/>
        <v>0</v>
      </c>
      <c r="G16" s="139">
        <f>VLOOKUP(A16,'10-year CDS Spreads'!$A$2:$D$158,4,FALSE)</f>
        <v>8.0000000000000015E-4</v>
      </c>
      <c r="H16" s="11">
        <f t="shared" si="3"/>
        <v>4.8927504328240154E-2</v>
      </c>
      <c r="I16" s="14">
        <f t="shared" si="4"/>
        <v>1.2275043282401572E-3</v>
      </c>
      <c r="J16" s="4" t="s">
        <v>47</v>
      </c>
      <c r="K16" s="146">
        <f t="shared" si="5"/>
        <v>0</v>
      </c>
    </row>
    <row r="17" spans="1:11" ht="16">
      <c r="A17" s="105" t="str">
        <f>'Sovereign Ratings (Moody''s,S&amp;P)'!A10</f>
        <v>Austria</v>
      </c>
      <c r="B17" s="101" t="str">
        <f>VLOOKUP(A17,'Regional lookup table'!$A$2:$B$162,2,FALSE)</f>
        <v>Western Europe</v>
      </c>
      <c r="C17" s="9" t="str">
        <f>VLOOKUP(A17,'Sovereign Ratings (Moody''s,S&amp;P)'!$A$2:$D$158,4,FALSE)</f>
        <v>Aa1</v>
      </c>
      <c r="D17" s="21">
        <f t="shared" si="0"/>
        <v>2.6131717269259457E-3</v>
      </c>
      <c r="E17" s="21">
        <f t="shared" si="1"/>
        <v>5.1709599506545502E-2</v>
      </c>
      <c r="F17" s="11">
        <f t="shared" si="2"/>
        <v>4.0095995065455052E-3</v>
      </c>
      <c r="G17" s="139">
        <f>VLOOKUP(A17,'10-year CDS Spreads'!$A$2:$D$158,4,FALSE)</f>
        <v>1.3000000000000002E-3</v>
      </c>
      <c r="H17" s="11">
        <f t="shared" si="3"/>
        <v>4.9694694533390253E-2</v>
      </c>
      <c r="I17" s="14">
        <f t="shared" si="4"/>
        <v>1.9946945333902556E-3</v>
      </c>
      <c r="J17" s="4" t="s">
        <v>48</v>
      </c>
      <c r="K17" s="146">
        <f t="shared" si="5"/>
        <v>428.36430240137611</v>
      </c>
    </row>
    <row r="18" spans="1:11" ht="16">
      <c r="A18" s="105" t="str">
        <f>'Sovereign Ratings (Moody''s,S&amp;P)'!A11</f>
        <v>Azerbaijan</v>
      </c>
      <c r="B18" s="101" t="str">
        <f>VLOOKUP(A18,'Regional lookup table'!$A$2:$B$162,2,FALSE)</f>
        <v>Eastern Europe &amp; Russia</v>
      </c>
      <c r="C18" s="9" t="str">
        <f>VLOOKUP(A18,'Sovereign Ratings (Moody''s,S&amp;P)'!$A$2:$D$158,4,FALSE)</f>
        <v>Baa3</v>
      </c>
      <c r="D18" s="21">
        <f t="shared" si="0"/>
        <v>2.091491502586354E-2</v>
      </c>
      <c r="E18" s="21">
        <f t="shared" si="1"/>
        <v>7.979143589877824E-2</v>
      </c>
      <c r="F18" s="11">
        <f t="shared" si="2"/>
        <v>3.2091435898778241E-2</v>
      </c>
      <c r="G18" s="139" t="str">
        <f>VLOOKUP(A18,'10-year CDS Spreads'!$A$2:$D$158,4,FALSE)</f>
        <v>NA</v>
      </c>
      <c r="H18" s="11" t="str">
        <f t="shared" si="3"/>
        <v>NA</v>
      </c>
      <c r="I18" s="14" t="str">
        <f t="shared" si="4"/>
        <v>NA</v>
      </c>
      <c r="J18" s="4" t="s">
        <v>49</v>
      </c>
      <c r="K18" s="146">
        <f t="shared" si="5"/>
        <v>523.43209797348311</v>
      </c>
    </row>
    <row r="19" spans="1:11" ht="16">
      <c r="A19" s="105" t="str">
        <f>'Sovereign Ratings (Moody''s,S&amp;P)'!A12</f>
        <v>Bahamas</v>
      </c>
      <c r="B19" s="101" t="str">
        <f>VLOOKUP(A19,'Regional lookup table'!$A$2:$B$162,2,FALSE)</f>
        <v>Caribbean</v>
      </c>
      <c r="C19" s="9" t="str">
        <f>VLOOKUP(A19,'Sovereign Ratings (Moody''s,S&amp;P)'!$A$2:$D$158,4,FALSE)</f>
        <v>B1</v>
      </c>
      <c r="D19" s="21">
        <f t="shared" si="0"/>
        <v>4.2836430240137613E-2</v>
      </c>
      <c r="E19" s="21">
        <f t="shared" si="1"/>
        <v>0.1134273794076581</v>
      </c>
      <c r="F19" s="11">
        <f t="shared" si="2"/>
        <v>6.572737940765809E-2</v>
      </c>
      <c r="G19" s="139" t="str">
        <f>VLOOKUP(A19,'10-year CDS Spreads'!$A$2:$D$158,4,FALSE)</f>
        <v>NA</v>
      </c>
      <c r="H19" s="11" t="str">
        <f t="shared" si="3"/>
        <v>NA</v>
      </c>
      <c r="I19" s="14" t="str">
        <f t="shared" si="4"/>
        <v>NA</v>
      </c>
      <c r="J19" s="4" t="s">
        <v>78</v>
      </c>
      <c r="K19" s="146">
        <f t="shared" si="5"/>
        <v>618.49989354559011</v>
      </c>
    </row>
    <row r="20" spans="1:11" ht="16">
      <c r="A20" s="105" t="str">
        <f>'Sovereign Ratings (Moody''s,S&amp;P)'!A13</f>
        <v>Bahrain</v>
      </c>
      <c r="B20" s="101" t="str">
        <f>VLOOKUP(A20,'Regional lookup table'!$A$2:$B$162,2,FALSE)</f>
        <v>Middle East</v>
      </c>
      <c r="C20" s="9" t="str">
        <f>VLOOKUP(A20,'Sovereign Ratings (Moody''s,S&amp;P)'!$A$2:$D$158,4,FALSE)</f>
        <v>B2</v>
      </c>
      <c r="D20" s="21">
        <f t="shared" si="0"/>
        <v>5.2343209797348314E-2</v>
      </c>
      <c r="E20" s="21">
        <f t="shared" si="1"/>
        <v>0.12801439572528456</v>
      </c>
      <c r="F20" s="11">
        <f t="shared" si="2"/>
        <v>8.0314395725284565E-2</v>
      </c>
      <c r="G20" s="139">
        <f>VLOOKUP(A20,'10-year CDS Spreads'!$A$2:$D$158,4,FALSE)</f>
        <v>3.3500000000000002E-2</v>
      </c>
      <c r="H20" s="11">
        <f t="shared" si="3"/>
        <v>9.9101743745056578E-2</v>
      </c>
      <c r="I20" s="14">
        <f t="shared" si="4"/>
        <v>5.1401743745056579E-2</v>
      </c>
      <c r="J20" s="4" t="s">
        <v>79</v>
      </c>
      <c r="K20" s="146">
        <f t="shared" si="5"/>
        <v>238.22871125716225</v>
      </c>
    </row>
    <row r="21" spans="1:11" ht="16">
      <c r="A21" s="105" t="str">
        <f>'Sovereign Ratings (Moody''s,S&amp;P)'!A14</f>
        <v>Bangladesh</v>
      </c>
      <c r="B21" s="101" t="str">
        <f>VLOOKUP(A21,'Regional lookup table'!$A$2:$B$162,2,FALSE)</f>
        <v>Asia</v>
      </c>
      <c r="C21" s="9" t="str">
        <f>VLOOKUP(A21,'Sovereign Ratings (Moody''s,S&amp;P)'!$A$2:$D$158,4,FALSE)</f>
        <v>B2</v>
      </c>
      <c r="D21" s="21">
        <f t="shared" si="0"/>
        <v>5.2343209797348314E-2</v>
      </c>
      <c r="E21" s="21">
        <f t="shared" si="1"/>
        <v>0.12801439572528456</v>
      </c>
      <c r="F21" s="11">
        <f t="shared" si="2"/>
        <v>8.0314395725284565E-2</v>
      </c>
      <c r="G21" s="139" t="str">
        <f>VLOOKUP(A21,'10-year CDS Spreads'!$A$2:$D$158,4,FALSE)</f>
        <v>NA</v>
      </c>
      <c r="H21" s="11" t="str">
        <f t="shared" si="3"/>
        <v>NA</v>
      </c>
      <c r="I21" s="14" t="str">
        <f t="shared" si="4"/>
        <v>NA</v>
      </c>
      <c r="J21" s="4" t="s">
        <v>80</v>
      </c>
      <c r="K21" s="146">
        <f t="shared" si="5"/>
        <v>286.32183137011049</v>
      </c>
    </row>
    <row r="22" spans="1:11" ht="16">
      <c r="A22" s="105" t="str">
        <f>'Sovereign Ratings (Moody''s,S&amp;P)'!A15</f>
        <v>Barbados</v>
      </c>
      <c r="B22" s="101" t="str">
        <f>VLOOKUP(A22,'Regional lookup table'!$A$2:$B$162,2,FALSE)</f>
        <v>Caribbean</v>
      </c>
      <c r="C22" s="9" t="str">
        <f>VLOOKUP(A22,'Sovereign Ratings (Moody''s,S&amp;P)'!$A$2:$D$158,4,FALSE)</f>
        <v>B2</v>
      </c>
      <c r="D22" s="21">
        <f t="shared" si="0"/>
        <v>5.2343209797348314E-2</v>
      </c>
      <c r="E22" s="21">
        <f t="shared" si="1"/>
        <v>0.12801439572528456</v>
      </c>
      <c r="F22" s="11">
        <f t="shared" si="2"/>
        <v>8.0314395725284565E-2</v>
      </c>
      <c r="G22" s="139" t="str">
        <f>VLOOKUP(A22,'10-year CDS Spreads'!$A$2:$D$158,4,FALSE)</f>
        <v>NA</v>
      </c>
      <c r="H22" s="11" t="str">
        <f t="shared" si="3"/>
        <v>NA</v>
      </c>
      <c r="I22" s="14" t="str">
        <f t="shared" si="4"/>
        <v>NA</v>
      </c>
      <c r="J22" s="4" t="s">
        <v>81</v>
      </c>
      <c r="K22" s="146">
        <f t="shared" si="5"/>
        <v>342.24406405958513</v>
      </c>
    </row>
    <row r="23" spans="1:11" ht="16">
      <c r="A23" s="105" t="str">
        <f>'Sovereign Ratings (Moody''s,S&amp;P)'!A16</f>
        <v>Belarus</v>
      </c>
      <c r="B23" s="101" t="str">
        <f>VLOOKUP(A23,'Regional lookup table'!$A$2:$B$162,2,FALSE)</f>
        <v>Eastern Europe &amp; Russia</v>
      </c>
      <c r="C23" s="9" t="str">
        <f>VLOOKUP(A23,'Sovereign Ratings (Moody''s,S&amp;P)'!$A$2:$D$158,4,FALSE)</f>
        <v>C</v>
      </c>
      <c r="D23" s="21">
        <f t="shared" si="0"/>
        <v>0.17499999999999999</v>
      </c>
      <c r="E23" s="21">
        <f t="shared" si="1"/>
        <v>0.31621657180253437</v>
      </c>
      <c r="F23" s="11">
        <f t="shared" si="2"/>
        <v>0.26851657180253435</v>
      </c>
      <c r="G23" s="139" t="str">
        <f>VLOOKUP(A23,'10-year CDS Spreads'!$A$2:$D$158,4,FALSE)</f>
        <v>NA</v>
      </c>
      <c r="H23" s="11" t="str">
        <f t="shared" si="3"/>
        <v>NA</v>
      </c>
      <c r="I23" s="14" t="str">
        <f t="shared" si="4"/>
        <v>NA</v>
      </c>
      <c r="J23" s="4" t="s">
        <v>82</v>
      </c>
      <c r="K23" s="146">
        <f t="shared" si="5"/>
        <v>152.10847291537115</v>
      </c>
    </row>
    <row r="24" spans="1:11" ht="16">
      <c r="A24" s="105" t="str">
        <f>'Sovereign Ratings (Moody''s,S&amp;P)'!A17</f>
        <v>Belgium</v>
      </c>
      <c r="B24" s="101" t="str">
        <f>VLOOKUP(A24,'Regional lookup table'!$A$2:$B$162,2,FALSE)</f>
        <v>Western Europe</v>
      </c>
      <c r="C24" s="9" t="str">
        <f>VLOOKUP(A24,'Sovereign Ratings (Moody''s,S&amp;P)'!$A$2:$D$158,4,FALSE)</f>
        <v>Aa3</v>
      </c>
      <c r="D24" s="21">
        <f t="shared" si="0"/>
        <v>5.7040677343264193E-3</v>
      </c>
      <c r="E24" s="21">
        <f t="shared" si="1"/>
        <v>5.6452209790575886E-2</v>
      </c>
      <c r="F24" s="11">
        <f t="shared" si="2"/>
        <v>8.7522097905758829E-3</v>
      </c>
      <c r="G24" s="139">
        <f>VLOOKUP(A24,'10-year CDS Spreads'!$A$2:$D$158,4,FALSE)</f>
        <v>2.4999999999999996E-3</v>
      </c>
      <c r="H24" s="11">
        <f t="shared" si="3"/>
        <v>5.1535951025750489E-2</v>
      </c>
      <c r="I24" s="14">
        <f t="shared" si="4"/>
        <v>3.8359510257504901E-3</v>
      </c>
      <c r="J24" s="4" t="s">
        <v>83</v>
      </c>
      <c r="K24" s="146">
        <f t="shared" si="5"/>
        <v>181.18803391389804</v>
      </c>
    </row>
    <row r="25" spans="1:11" ht="16">
      <c r="A25" s="105" t="str">
        <f>'Sovereign Ratings (Moody''s,S&amp;P)'!A18</f>
        <v>Belize</v>
      </c>
      <c r="B25" s="101" t="str">
        <f>VLOOKUP(A25,'Regional lookup table'!$A$2:$B$162,2,FALSE)</f>
        <v>Central and South America</v>
      </c>
      <c r="C25" s="9" t="str">
        <f>VLOOKUP(A25,'Sovereign Ratings (Moody''s,S&amp;P)'!$A$2:$D$158,4,FALSE)</f>
        <v>Caa1</v>
      </c>
      <c r="D25" s="21">
        <f t="shared" si="0"/>
        <v>7.1356768911769716E-2</v>
      </c>
      <c r="E25" s="21">
        <f t="shared" si="1"/>
        <v>0.15718842836053751</v>
      </c>
      <c r="F25" s="11">
        <f t="shared" si="2"/>
        <v>0.10948842836053752</v>
      </c>
      <c r="G25" s="139" t="str">
        <f>VLOOKUP(A25,'10-year CDS Spreads'!$A$2:$D$158,4,FALSE)</f>
        <v>NA</v>
      </c>
      <c r="H25" s="11" t="str">
        <f t="shared" si="3"/>
        <v>NA</v>
      </c>
      <c r="I25" s="14" t="str">
        <f t="shared" si="4"/>
        <v>NA</v>
      </c>
      <c r="J25" s="4" t="s">
        <v>124</v>
      </c>
      <c r="K25" s="146">
        <f t="shared" si="5"/>
        <v>209.14915025863539</v>
      </c>
    </row>
    <row r="26" spans="1:11" ht="16">
      <c r="A26" s="105" t="str">
        <f>'Sovereign Ratings (Moody''s,S&amp;P)'!A19</f>
        <v>Benin</v>
      </c>
      <c r="B26" s="101" t="str">
        <f>VLOOKUP(A26,'Regional lookup table'!$A$2:$B$162,2,FALSE)</f>
        <v>Africa</v>
      </c>
      <c r="C26" s="9" t="str">
        <f>VLOOKUP(A26,'Sovereign Ratings (Moody''s,S&amp;P)'!$A$2:$D$158,4,FALSE)</f>
        <v>B1</v>
      </c>
      <c r="D26" s="21">
        <f t="shared" si="0"/>
        <v>4.2836430240137613E-2</v>
      </c>
      <c r="E26" s="21">
        <f t="shared" si="1"/>
        <v>0.1134273794076581</v>
      </c>
      <c r="F26" s="11">
        <f t="shared" si="2"/>
        <v>6.572737940765809E-2</v>
      </c>
      <c r="G26" s="139" t="str">
        <f>VLOOKUP(A26,'10-year CDS Spreads'!$A$2:$D$158,4,FALSE)</f>
        <v>NA</v>
      </c>
      <c r="H26" s="11" t="str">
        <f t="shared" si="3"/>
        <v>NA</v>
      </c>
      <c r="I26" s="14" t="str">
        <f t="shared" si="4"/>
        <v>NA</v>
      </c>
      <c r="J26" s="4" t="s">
        <v>137</v>
      </c>
      <c r="K26" s="146">
        <f t="shared" si="5"/>
        <v>1750</v>
      </c>
    </row>
    <row r="27" spans="1:11" ht="16">
      <c r="A27" s="105" t="str">
        <f>'Sovereign Ratings (Moody''s,S&amp;P)'!A20</f>
        <v>Bermuda</v>
      </c>
      <c r="B27" s="101" t="str">
        <f>VLOOKUP(A27,'Regional lookup table'!$A$2:$B$162,2,FALSE)</f>
        <v>Caribbean</v>
      </c>
      <c r="C27" s="9" t="str">
        <f>VLOOKUP(A27,'Sovereign Ratings (Moody''s,S&amp;P)'!$A$2:$D$158,4,FALSE)</f>
        <v>A2</v>
      </c>
      <c r="D27" s="21">
        <f t="shared" si="0"/>
        <v>8.0528015072843552E-3</v>
      </c>
      <c r="E27" s="21">
        <f t="shared" si="1"/>
        <v>6.0056060880813007E-2</v>
      </c>
      <c r="F27" s="11">
        <f t="shared" si="2"/>
        <v>1.2356060880813008E-2</v>
      </c>
      <c r="G27" s="139" t="str">
        <f>VLOOKUP(A27,'10-year CDS Spreads'!$A$2:$D$158,4,FALSE)</f>
        <v>NA</v>
      </c>
      <c r="H27" s="11" t="str">
        <f t="shared" si="3"/>
        <v>NA</v>
      </c>
      <c r="I27" s="14" t="str">
        <f t="shared" si="4"/>
        <v>NA</v>
      </c>
      <c r="J27" s="4" t="s">
        <v>335</v>
      </c>
      <c r="K27" s="146">
        <f t="shared" si="5"/>
        <v>1141.9319915190733</v>
      </c>
    </row>
    <row r="28" spans="1:11" ht="16">
      <c r="A28" s="105" t="str">
        <f>'Sovereign Ratings (Moody''s,S&amp;P)'!A21</f>
        <v>Bolivia</v>
      </c>
      <c r="B28" s="101" t="str">
        <f>VLOOKUP(A28,'Regional lookup table'!$A$2:$B$162,2,FALSE)</f>
        <v>Central and South America</v>
      </c>
      <c r="C28" s="9" t="str">
        <f>VLOOKUP(A28,'Sovereign Ratings (Moody''s,S&amp;P)'!$A$2:$D$158,4,FALSE)</f>
        <v>Caa3</v>
      </c>
      <c r="D28" s="21">
        <f t="shared" si="0"/>
        <v>9.5179640037485941E-2</v>
      </c>
      <c r="E28" s="21">
        <f t="shared" si="1"/>
        <v>0.19374177513294266</v>
      </c>
      <c r="F28" s="11">
        <f t="shared" si="2"/>
        <v>0.14604177513294267</v>
      </c>
      <c r="G28" s="139" t="str">
        <f>VLOOKUP(A28,'10-year CDS Spreads'!$A$2:$D$158,4,FALSE)</f>
        <v>NA</v>
      </c>
      <c r="H28" s="11" t="str">
        <f t="shared" si="3"/>
        <v>NA</v>
      </c>
      <c r="I28" s="14" t="str">
        <f t="shared" si="4"/>
        <v>NA</v>
      </c>
      <c r="J28" s="4" t="str">
        <f>B209</f>
        <v>Caa1</v>
      </c>
      <c r="K28" s="146">
        <f t="shared" si="5"/>
        <v>713.56768911769711</v>
      </c>
    </row>
    <row r="29" spans="1:11" ht="16">
      <c r="A29" s="105" t="str">
        <f>'Sovereign Ratings (Moody''s,S&amp;P)'!A22</f>
        <v>Bosnia and Herzegovina</v>
      </c>
      <c r="B29" s="101" t="str">
        <f>VLOOKUP(A29,'Regional lookup table'!$A$2:$B$162,2,FALSE)</f>
        <v>Eastern Europe &amp; Russia</v>
      </c>
      <c r="C29" s="9" t="str">
        <f>VLOOKUP(A29,'Sovereign Ratings (Moody''s,S&amp;P)'!$A$2:$D$158,4,FALSE)</f>
        <v>B3</v>
      </c>
      <c r="D29" s="21">
        <f t="shared" si="0"/>
        <v>6.1849989354559008E-2</v>
      </c>
      <c r="E29" s="21">
        <f t="shared" si="1"/>
        <v>0.14260141204291102</v>
      </c>
      <c r="F29" s="11">
        <f t="shared" si="2"/>
        <v>9.4901412042911026E-2</v>
      </c>
      <c r="G29" s="139" t="str">
        <f>VLOOKUP(A29,'10-year CDS Spreads'!$A$2:$D$158,4,FALSE)</f>
        <v>NA</v>
      </c>
      <c r="H29" s="11" t="str">
        <f t="shared" si="3"/>
        <v>NA</v>
      </c>
      <c r="I29" s="14" t="str">
        <f t="shared" si="4"/>
        <v>NA</v>
      </c>
      <c r="J29" s="4" t="str">
        <f>B210</f>
        <v>Caa2</v>
      </c>
      <c r="K29" s="146">
        <f t="shared" si="5"/>
        <v>856.72860480275222</v>
      </c>
    </row>
    <row r="30" spans="1:11" ht="16">
      <c r="A30" s="105" t="str">
        <f>'Sovereign Ratings (Moody''s,S&amp;P)'!A23</f>
        <v>Botswana</v>
      </c>
      <c r="B30" s="101" t="str">
        <f>VLOOKUP(A30,'Regional lookup table'!$A$2:$B$162,2,FALSE)</f>
        <v>Africa</v>
      </c>
      <c r="C30" s="9" t="str">
        <f>VLOOKUP(A30,'Sovereign Ratings (Moody''s,S&amp;P)'!$A$2:$D$158,4,FALSE)</f>
        <v>Baa1</v>
      </c>
      <c r="D30" s="21">
        <f t="shared" si="0"/>
        <v>1.5210847291537115E-2</v>
      </c>
      <c r="E30" s="21">
        <f t="shared" si="1"/>
        <v>7.1039226108202347E-2</v>
      </c>
      <c r="F30" s="11">
        <f t="shared" si="2"/>
        <v>2.3339226108202347E-2</v>
      </c>
      <c r="G30" s="139" t="str">
        <f>VLOOKUP(A30,'10-year CDS Spreads'!$A$2:$D$158,4,FALSE)</f>
        <v>NA</v>
      </c>
      <c r="H30" s="11" t="str">
        <f t="shared" si="3"/>
        <v>NA</v>
      </c>
      <c r="I30" s="14" t="str">
        <f t="shared" si="4"/>
        <v>NA</v>
      </c>
      <c r="J30" s="4" t="str">
        <f>B211</f>
        <v>Caa3</v>
      </c>
      <c r="K30" s="146">
        <f t="shared" si="5"/>
        <v>951.79640037485945</v>
      </c>
    </row>
    <row r="31" spans="1:11" ht="16">
      <c r="A31" s="105" t="str">
        <f>'Sovereign Ratings (Moody''s,S&amp;P)'!A24</f>
        <v>Brazil</v>
      </c>
      <c r="B31" s="101" t="str">
        <f>VLOOKUP(A31,'Regional lookup table'!$A$2:$B$162,2,FALSE)</f>
        <v>Central and South America</v>
      </c>
      <c r="C31" s="9" t="str">
        <f>VLOOKUP(A31,'Sovereign Ratings (Moody''s,S&amp;P)'!$A$2:$D$158,4,FALSE)</f>
        <v>Ba1</v>
      </c>
      <c r="D31" s="21">
        <f t="shared" si="0"/>
        <v>2.3822871125716225E-2</v>
      </c>
      <c r="E31" s="21">
        <f t="shared" si="1"/>
        <v>8.425334677240516E-2</v>
      </c>
      <c r="F31" s="11">
        <f t="shared" si="2"/>
        <v>3.6553346772405161E-2</v>
      </c>
      <c r="G31" s="139">
        <f>VLOOKUP(A31,'10-year CDS Spreads'!$A$2:$D$158,4,FALSE)</f>
        <v>2.2200000000000001E-2</v>
      </c>
      <c r="H31" s="11">
        <f t="shared" si="3"/>
        <v>8.1763245108664367E-2</v>
      </c>
      <c r="I31" s="14">
        <f t="shared" si="4"/>
        <v>3.4063245108664361E-2</v>
      </c>
      <c r="J31" s="4" t="s">
        <v>272</v>
      </c>
      <c r="K31" s="147" t="str">
        <f t="shared" si="5"/>
        <v>NA</v>
      </c>
    </row>
    <row r="32" spans="1:11" ht="16">
      <c r="A32" s="105" t="str">
        <f>'Sovereign Ratings (Moody''s,S&amp;P)'!A25</f>
        <v>Bulgaria</v>
      </c>
      <c r="B32" s="101" t="str">
        <f>VLOOKUP(A32,'Regional lookup table'!$A$2:$B$162,2,FALSE)</f>
        <v>Eastern Europe &amp; Russia</v>
      </c>
      <c r="C32" s="9" t="str">
        <f>VLOOKUP(A32,'Sovereign Ratings (Moody''s,S&amp;P)'!$A$2:$D$158,4,FALSE)</f>
        <v>Baa1</v>
      </c>
      <c r="D32" s="21">
        <f t="shared" si="0"/>
        <v>1.5210847291537115E-2</v>
      </c>
      <c r="E32" s="21">
        <f t="shared" si="1"/>
        <v>7.1039226108202347E-2</v>
      </c>
      <c r="F32" s="11">
        <f t="shared" si="2"/>
        <v>2.3339226108202347E-2</v>
      </c>
      <c r="G32" s="139">
        <f>VLOOKUP(A32,'10-year CDS Spreads'!$A$2:$D$158,4,FALSE)</f>
        <v>6.0999999999999995E-3</v>
      </c>
      <c r="H32" s="11">
        <f t="shared" si="3"/>
        <v>5.7059720502831195E-2</v>
      </c>
      <c r="I32" s="14">
        <f t="shared" si="4"/>
        <v>9.359720502831197E-3</v>
      </c>
    </row>
    <row r="33" spans="1:9" ht="16">
      <c r="A33" s="105" t="str">
        <f>'Sovereign Ratings (Moody''s,S&amp;P)'!A26</f>
        <v>Burkina Faso</v>
      </c>
      <c r="B33" s="101" t="str">
        <f>VLOOKUP(A33,'Regional lookup table'!$A$2:$B$162,2,FALSE)</f>
        <v>Africa</v>
      </c>
      <c r="C33" s="9" t="str">
        <f>VLOOKUP(A33,'Sovereign Ratings (Moody''s,S&amp;P)'!$A$2:$D$158,4,FALSE)</f>
        <v>Caa1</v>
      </c>
      <c r="D33" s="21">
        <f t="shared" si="0"/>
        <v>7.1356768911769716E-2</v>
      </c>
      <c r="E33" s="21">
        <f t="shared" si="1"/>
        <v>0.15718842836053751</v>
      </c>
      <c r="F33" s="11">
        <f t="shared" si="2"/>
        <v>0.10948842836053752</v>
      </c>
      <c r="G33" s="139" t="str">
        <f>VLOOKUP(A33,'10-year CDS Spreads'!$A$2:$D$158,4,FALSE)</f>
        <v>NA</v>
      </c>
      <c r="H33" s="11" t="str">
        <f t="shared" si="3"/>
        <v>NA</v>
      </c>
      <c r="I33" s="14" t="str">
        <f t="shared" si="4"/>
        <v>NA</v>
      </c>
    </row>
    <row r="34" spans="1:9" ht="16">
      <c r="A34" s="105" t="str">
        <f>'Sovereign Ratings (Moody''s,S&amp;P)'!A27</f>
        <v>Cambodia</v>
      </c>
      <c r="B34" s="101" t="str">
        <f>VLOOKUP(A34,'Regional lookup table'!$A$2:$B$162,2,FALSE)</f>
        <v>Asia</v>
      </c>
      <c r="C34" s="9" t="str">
        <f>VLOOKUP(A34,'Sovereign Ratings (Moody''s,S&amp;P)'!$A$2:$D$158,4,FALSE)</f>
        <v>B2</v>
      </c>
      <c r="D34" s="21">
        <f t="shared" si="0"/>
        <v>5.2343209797348314E-2</v>
      </c>
      <c r="E34" s="21">
        <f t="shared" si="1"/>
        <v>0.12801439572528456</v>
      </c>
      <c r="F34" s="11">
        <f t="shared" si="2"/>
        <v>8.0314395725284565E-2</v>
      </c>
      <c r="G34" s="139" t="str">
        <f>VLOOKUP(A34,'10-year CDS Spreads'!$A$2:$D$158,4,FALSE)</f>
        <v>NA</v>
      </c>
      <c r="H34" s="11" t="str">
        <f t="shared" si="3"/>
        <v>NA</v>
      </c>
      <c r="I34" s="14" t="str">
        <f t="shared" si="4"/>
        <v>NA</v>
      </c>
    </row>
    <row r="35" spans="1:9" ht="16">
      <c r="A35" s="105" t="str">
        <f>'Sovereign Ratings (Moody''s,S&amp;P)'!A28</f>
        <v>Cameroon</v>
      </c>
      <c r="B35" s="101" t="str">
        <f>VLOOKUP(A35,'Regional lookup table'!$A$2:$B$162,2,FALSE)</f>
        <v>Africa</v>
      </c>
      <c r="C35" s="9" t="str">
        <f>VLOOKUP(A35,'Sovereign Ratings (Moody''s,S&amp;P)'!$A$2:$D$158,4,FALSE)</f>
        <v>Caa1</v>
      </c>
      <c r="D35" s="21">
        <f t="shared" si="0"/>
        <v>7.1356768911769716E-2</v>
      </c>
      <c r="E35" s="21">
        <f t="shared" si="1"/>
        <v>0.15718842836053751</v>
      </c>
      <c r="F35" s="11">
        <f t="shared" si="2"/>
        <v>0.10948842836053752</v>
      </c>
      <c r="G35" s="139">
        <f>VLOOKUP(A35,'10-year CDS Spreads'!$A$2:$D$158,4,FALSE)</f>
        <v>7.1700000000000014E-2</v>
      </c>
      <c r="H35" s="11">
        <f t="shared" si="3"/>
        <v>0.15771507541852409</v>
      </c>
      <c r="I35" s="14">
        <f t="shared" si="4"/>
        <v>0.11001507541852409</v>
      </c>
    </row>
    <row r="36" spans="1:9" ht="16">
      <c r="A36" s="105" t="str">
        <f>'Sovereign Ratings (Moody''s,S&amp;P)'!A29</f>
        <v>Canada</v>
      </c>
      <c r="B36" s="101" t="str">
        <f>VLOOKUP(A36,'Regional lookup table'!$A$2:$B$162,2,FALSE)</f>
        <v>North America</v>
      </c>
      <c r="C36" s="9" t="str">
        <f>VLOOKUP(A36,'Sovereign Ratings (Moody''s,S&amp;P)'!$A$2:$D$158,4,FALSE)</f>
        <v>Aaa</v>
      </c>
      <c r="D36" s="21">
        <f t="shared" si="0"/>
        <v>0</v>
      </c>
      <c r="E36" s="21">
        <f t="shared" si="1"/>
        <v>4.7699999999999999E-2</v>
      </c>
      <c r="F36" s="11">
        <f t="shared" si="2"/>
        <v>0</v>
      </c>
      <c r="G36" s="139">
        <f>VLOOKUP(A36,'10-year CDS Spreads'!$A$2:$D$158,4,FALSE)</f>
        <v>1.3000000000000002E-3</v>
      </c>
      <c r="H36" s="11">
        <f t="shared" si="3"/>
        <v>4.9694694533390253E-2</v>
      </c>
      <c r="I36" s="14">
        <f t="shared" si="4"/>
        <v>1.9946945333902556E-3</v>
      </c>
    </row>
    <row r="37" spans="1:9" ht="16">
      <c r="A37" s="105" t="str">
        <f>'Sovereign Ratings (Moody''s,S&amp;P)'!A30</f>
        <v>Cape Verde</v>
      </c>
      <c r="B37" s="101" t="str">
        <f>VLOOKUP(A37,'Regional lookup table'!$A$2:$B$162,2,FALSE)</f>
        <v>Africa</v>
      </c>
      <c r="C37" s="9" t="str">
        <f>VLOOKUP(A37,'Sovereign Ratings (Moody''s,S&amp;P)'!$A$2:$D$158,4,FALSE)</f>
        <v>B2</v>
      </c>
      <c r="D37" s="21">
        <f t="shared" si="0"/>
        <v>5.2343209797348314E-2</v>
      </c>
      <c r="E37" s="21">
        <f t="shared" si="1"/>
        <v>0.12801439572528456</v>
      </c>
      <c r="F37" s="11">
        <f t="shared" si="2"/>
        <v>8.0314395725284565E-2</v>
      </c>
      <c r="G37" s="139" t="str">
        <f>VLOOKUP(A37,'10-year CDS Spreads'!$A$2:$D$158,4,FALSE)</f>
        <v>NA</v>
      </c>
      <c r="H37" s="11" t="str">
        <f t="shared" si="3"/>
        <v>NA</v>
      </c>
      <c r="I37" s="14" t="str">
        <f t="shared" si="4"/>
        <v>NA</v>
      </c>
    </row>
    <row r="38" spans="1:9" ht="16">
      <c r="A38" s="105" t="str">
        <f>'Sovereign Ratings (Moody''s,S&amp;P)'!A31</f>
        <v>Cayman Islands</v>
      </c>
      <c r="B38" s="101" t="str">
        <f>VLOOKUP(A38,'Regional lookup table'!$A$2:$B$162,2,FALSE)</f>
        <v>Caribbean</v>
      </c>
      <c r="C38" s="9" t="str">
        <f>VLOOKUP(A38,'Sovereign Ratings (Moody''s,S&amp;P)'!$A$2:$D$158,4,FALSE)</f>
        <v>Aa3</v>
      </c>
      <c r="D38" s="21">
        <f t="shared" si="0"/>
        <v>5.7040677343264193E-3</v>
      </c>
      <c r="E38" s="21">
        <f t="shared" si="1"/>
        <v>5.6452209790575886E-2</v>
      </c>
      <c r="F38" s="11">
        <f t="shared" si="2"/>
        <v>8.7522097905758829E-3</v>
      </c>
      <c r="G38" s="139" t="str">
        <f>VLOOKUP(A38,'10-year CDS Spreads'!$A$2:$D$158,4,FALSE)</f>
        <v>NA</v>
      </c>
      <c r="H38" s="11" t="str">
        <f t="shared" si="3"/>
        <v>NA</v>
      </c>
      <c r="I38" s="14" t="str">
        <f t="shared" si="4"/>
        <v>NA</v>
      </c>
    </row>
    <row r="39" spans="1:9" ht="16">
      <c r="A39" s="105" t="str">
        <f>'Sovereign Ratings (Moody''s,S&amp;P)'!A32</f>
        <v>Chile</v>
      </c>
      <c r="B39" s="101" t="str">
        <f>VLOOKUP(A39,'Regional lookup table'!$A$2:$B$162,2,FALSE)</f>
        <v>Central and South America</v>
      </c>
      <c r="C39" s="9" t="str">
        <f>VLOOKUP(A39,'Sovereign Ratings (Moody''s,S&amp;P)'!$A$2:$D$158,4,FALSE)</f>
        <v>A2</v>
      </c>
      <c r="D39" s="21">
        <f t="shared" si="0"/>
        <v>8.0528015072843552E-3</v>
      </c>
      <c r="E39" s="21">
        <f t="shared" si="1"/>
        <v>6.0056060880813007E-2</v>
      </c>
      <c r="F39" s="11">
        <f t="shared" si="2"/>
        <v>1.2356060880813008E-2</v>
      </c>
      <c r="G39" s="139">
        <f>VLOOKUP(A39,'10-year CDS Spreads'!$A$2:$D$158,4,FALSE)</f>
        <v>8.8999999999999999E-3</v>
      </c>
      <c r="H39" s="11">
        <f t="shared" si="3"/>
        <v>6.1355985651671746E-2</v>
      </c>
      <c r="I39" s="14">
        <f t="shared" si="4"/>
        <v>1.3655985651671747E-2</v>
      </c>
    </row>
    <row r="40" spans="1:9" ht="16">
      <c r="A40" s="105" t="str">
        <f>'Sovereign Ratings (Moody''s,S&amp;P)'!A33</f>
        <v>China</v>
      </c>
      <c r="B40" s="101" t="str">
        <f>VLOOKUP(A40,'Regional lookup table'!$A$2:$B$162,2,FALSE)</f>
        <v>Asia</v>
      </c>
      <c r="C40" s="9" t="str">
        <f>VLOOKUP(A40,'Sovereign Ratings (Moody''s,S&amp;P)'!$A$2:$D$158,4,FALSE)</f>
        <v>A1</v>
      </c>
      <c r="D40" s="21">
        <f t="shared" si="0"/>
        <v>6.710667922736965E-3</v>
      </c>
      <c r="E40" s="21">
        <f t="shared" si="1"/>
        <v>5.7996717400677508E-2</v>
      </c>
      <c r="F40" s="11">
        <f t="shared" si="2"/>
        <v>1.0296717400677511E-2</v>
      </c>
      <c r="G40" s="139">
        <f>VLOOKUP(A40,'10-year CDS Spreads'!$A$2:$D$158,4,FALSE)</f>
        <v>6.0000000000000001E-3</v>
      </c>
      <c r="H40" s="11">
        <f t="shared" si="3"/>
        <v>5.6906282461801176E-2</v>
      </c>
      <c r="I40" s="14">
        <f t="shared" si="4"/>
        <v>9.2062824618011786E-3</v>
      </c>
    </row>
    <row r="41" spans="1:9" ht="16">
      <c r="A41" s="105" t="str">
        <f>'Sovereign Ratings (Moody''s,S&amp;P)'!A34</f>
        <v>Colombia</v>
      </c>
      <c r="B41" s="101" t="str">
        <f>VLOOKUP(A41,'Regional lookup table'!$A$2:$B$162,2,FALSE)</f>
        <v>Central and South America</v>
      </c>
      <c r="C41" s="9" t="str">
        <f>VLOOKUP(A41,'Sovereign Ratings (Moody''s,S&amp;P)'!$A$2:$D$158,4,FALSE)</f>
        <v>Baa3</v>
      </c>
      <c r="D41" s="21">
        <f t="shared" si="0"/>
        <v>2.091491502586354E-2</v>
      </c>
      <c r="E41" s="21">
        <f t="shared" si="1"/>
        <v>7.979143589877824E-2</v>
      </c>
      <c r="F41" s="11">
        <f t="shared" si="2"/>
        <v>3.2091435898778241E-2</v>
      </c>
      <c r="G41" s="139">
        <f>VLOOKUP(A41,'10-year CDS Spreads'!$A$2:$D$158,4,FALSE)</f>
        <v>3.2599999999999997E-2</v>
      </c>
      <c r="H41" s="11">
        <f t="shared" si="3"/>
        <v>9.7720801375786398E-2</v>
      </c>
      <c r="I41" s="14">
        <f t="shared" si="4"/>
        <v>5.0020801375786399E-2</v>
      </c>
    </row>
    <row r="42" spans="1:9" ht="16">
      <c r="A42" s="105" t="str">
        <f>'Sovereign Ratings (Moody''s,S&amp;P)'!A35</f>
        <v>Congo (Democratic Republic of)</v>
      </c>
      <c r="B42" s="101" t="str">
        <f>VLOOKUP(A42,'Regional lookup table'!$A$2:$B$162,2,FALSE)</f>
        <v>Africa</v>
      </c>
      <c r="C42" s="9" t="str">
        <f>VLOOKUP(A42,'Sovereign Ratings (Moody''s,S&amp;P)'!$A$2:$D$158,4,FALSE)</f>
        <v>B3</v>
      </c>
      <c r="D42" s="21">
        <f t="shared" si="0"/>
        <v>6.1849989354559008E-2</v>
      </c>
      <c r="E42" s="21">
        <f t="shared" si="1"/>
        <v>0.14260141204291102</v>
      </c>
      <c r="F42" s="11">
        <f t="shared" si="2"/>
        <v>9.4901412042911026E-2</v>
      </c>
      <c r="G42" s="139" t="str">
        <f>VLOOKUP(A42,'10-year CDS Spreads'!$A$2:$D$158,4,FALSE)</f>
        <v>NA</v>
      </c>
      <c r="H42" s="11" t="str">
        <f t="shared" si="3"/>
        <v>NA</v>
      </c>
      <c r="I42" s="14" t="str">
        <f t="shared" si="4"/>
        <v>NA</v>
      </c>
    </row>
    <row r="43" spans="1:9" ht="16">
      <c r="A43" s="105" t="str">
        <f>'Sovereign Ratings (Moody''s,S&amp;P)'!A36</f>
        <v>Congo (Republic of)</v>
      </c>
      <c r="B43" s="101" t="str">
        <f>VLOOKUP(A43,'Regional lookup table'!$A$2:$B$162,2,FALSE)</f>
        <v>Africa</v>
      </c>
      <c r="C43" s="9" t="str">
        <f>VLOOKUP(A43,'Sovereign Ratings (Moody''s,S&amp;P)'!$A$2:$D$158,4,FALSE)</f>
        <v>Caa2</v>
      </c>
      <c r="D43" s="21">
        <f t="shared" si="0"/>
        <v>8.5672860480275226E-2</v>
      </c>
      <c r="E43" s="21">
        <f t="shared" si="1"/>
        <v>0.17915475881531617</v>
      </c>
      <c r="F43" s="11">
        <f t="shared" si="2"/>
        <v>0.13145475881531618</v>
      </c>
      <c r="G43" s="139" t="str">
        <f>VLOOKUP(A43,'10-year CDS Spreads'!$A$2:$D$158,4,FALSE)</f>
        <v>NA</v>
      </c>
      <c r="H43" s="11" t="str">
        <f t="shared" si="3"/>
        <v>NA</v>
      </c>
      <c r="I43" s="14" t="str">
        <f t="shared" si="4"/>
        <v>NA</v>
      </c>
    </row>
    <row r="44" spans="1:9" ht="16">
      <c r="A44" s="105" t="str">
        <f>'Sovereign Ratings (Moody''s,S&amp;P)'!A37</f>
        <v>Cook Islands</v>
      </c>
      <c r="B44" s="101" t="str">
        <f>VLOOKUP(A44,'Regional lookup table'!$A$2:$B$162,2,FALSE)</f>
        <v>Australia &amp; New Zealand</v>
      </c>
      <c r="C44" s="9" t="str">
        <f>VLOOKUP(A44,'Sovereign Ratings (Moody''s,S&amp;P)'!$A$2:$D$158,4,FALSE)</f>
        <v>B1</v>
      </c>
      <c r="D44" s="21">
        <f t="shared" si="0"/>
        <v>4.2836430240137613E-2</v>
      </c>
      <c r="E44" s="21">
        <f t="shared" si="1"/>
        <v>0.1134273794076581</v>
      </c>
      <c r="F44" s="11">
        <f t="shared" si="2"/>
        <v>6.572737940765809E-2</v>
      </c>
      <c r="G44" s="139" t="str">
        <f>VLOOKUP(A44,'10-year CDS Spreads'!$A$2:$D$158,4,FALSE)</f>
        <v>NA</v>
      </c>
      <c r="H44" s="11" t="str">
        <f t="shared" si="3"/>
        <v>NA</v>
      </c>
      <c r="I44" s="14" t="str">
        <f t="shared" si="4"/>
        <v>NA</v>
      </c>
    </row>
    <row r="45" spans="1:9" ht="16">
      <c r="A45" s="105" t="str">
        <f>'Sovereign Ratings (Moody''s,S&amp;P)'!A38</f>
        <v>Costa Rica</v>
      </c>
      <c r="B45" s="101" t="str">
        <f>VLOOKUP(A45,'Regional lookup table'!$A$2:$B$162,2,FALSE)</f>
        <v>Central and South America</v>
      </c>
      <c r="C45" s="9" t="str">
        <f>VLOOKUP(A45,'Sovereign Ratings (Moody''s,S&amp;P)'!$A$2:$D$158,4,FALSE)</f>
        <v>Ba2</v>
      </c>
      <c r="D45" s="21">
        <f t="shared" si="0"/>
        <v>2.863218313701105E-2</v>
      </c>
      <c r="E45" s="21">
        <f t="shared" si="1"/>
        <v>9.1632660909557379E-2</v>
      </c>
      <c r="F45" s="11">
        <f t="shared" si="2"/>
        <v>4.3932660909557379E-2</v>
      </c>
      <c r="G45" s="139">
        <f>VLOOKUP(A45,'10-year CDS Spreads'!$A$2:$D$158,4,FALSE)</f>
        <v>2.07E-2</v>
      </c>
      <c r="H45" s="11">
        <f t="shared" si="3"/>
        <v>7.9461674493214063E-2</v>
      </c>
      <c r="I45" s="14">
        <f t="shared" si="4"/>
        <v>3.1761674493214063E-2</v>
      </c>
    </row>
    <row r="46" spans="1:9" ht="16">
      <c r="A46" s="105" t="str">
        <f>'Sovereign Ratings (Moody''s,S&amp;P)'!A39</f>
        <v>Côte d'Ivoire</v>
      </c>
      <c r="B46" s="101" t="str">
        <f>VLOOKUP(A46,'Regional lookup table'!$A$2:$B$162,2,FALSE)</f>
        <v>Africa</v>
      </c>
      <c r="C46" s="9" t="str">
        <f>VLOOKUP(A46,'Sovereign Ratings (Moody''s,S&amp;P)'!$A$2:$D$158,4,FALSE)</f>
        <v>Ba2</v>
      </c>
      <c r="D46" s="21">
        <f t="shared" si="0"/>
        <v>2.863218313701105E-2</v>
      </c>
      <c r="E46" s="21">
        <f t="shared" si="1"/>
        <v>9.1632660909557379E-2</v>
      </c>
      <c r="F46" s="11">
        <f t="shared" si="2"/>
        <v>4.3932660909557379E-2</v>
      </c>
      <c r="G46" s="139" t="str">
        <f>VLOOKUP(A46,'10-year CDS Spreads'!$A$2:$D$158,4,FALSE)</f>
        <v>NA</v>
      </c>
      <c r="H46" s="11" t="str">
        <f t="shared" si="3"/>
        <v>NA</v>
      </c>
      <c r="I46" s="14" t="str">
        <f t="shared" si="4"/>
        <v>NA</v>
      </c>
    </row>
    <row r="47" spans="1:9" ht="16">
      <c r="A47" s="105" t="str">
        <f>'Sovereign Ratings (Moody''s,S&amp;P)'!A40</f>
        <v>Croatia</v>
      </c>
      <c r="B47" s="101" t="str">
        <f>VLOOKUP(A47,'Regional lookup table'!$A$2:$B$162,2,FALSE)</f>
        <v>Eastern Europe &amp; Russia</v>
      </c>
      <c r="C47" s="9" t="str">
        <f>VLOOKUP(A47,'Sovereign Ratings (Moody''s,S&amp;P)'!$A$2:$D$158,4,FALSE)</f>
        <v>A3</v>
      </c>
      <c r="D47" s="21">
        <f t="shared" si="0"/>
        <v>1.1408135468652839E-2</v>
      </c>
      <c r="E47" s="21">
        <f t="shared" si="1"/>
        <v>6.5204419581151765E-2</v>
      </c>
      <c r="F47" s="11">
        <f t="shared" si="2"/>
        <v>1.7504419581151766E-2</v>
      </c>
      <c r="G47" s="139">
        <f>VLOOKUP(A47,'10-year CDS Spreads'!$A$2:$D$158,4,FALSE)</f>
        <v>7.7999999999999996E-3</v>
      </c>
      <c r="H47" s="11">
        <f t="shared" si="3"/>
        <v>5.9668167200341529E-2</v>
      </c>
      <c r="I47" s="14">
        <f t="shared" si="4"/>
        <v>1.1968167200341532E-2</v>
      </c>
    </row>
    <row r="48" spans="1:9" ht="16">
      <c r="A48" s="105" t="str">
        <f>'Sovereign Ratings (Moody''s,S&amp;P)'!A41</f>
        <v>Cuba</v>
      </c>
      <c r="B48" s="101" t="str">
        <f>VLOOKUP(A48,'Regional lookup table'!$A$2:$B$162,2,FALSE)</f>
        <v>Caribbean</v>
      </c>
      <c r="C48" s="9" t="str">
        <f>VLOOKUP(A48,'Sovereign Ratings (Moody''s,S&amp;P)'!$A$2:$D$158,4,FALSE)</f>
        <v>Ca</v>
      </c>
      <c r="D48" s="21">
        <f t="shared" si="0"/>
        <v>0.11419319915190733</v>
      </c>
      <c r="E48" s="21">
        <f t="shared" si="1"/>
        <v>0.22291580776819558</v>
      </c>
      <c r="F48" s="11">
        <f t="shared" si="2"/>
        <v>0.17521580776819559</v>
      </c>
      <c r="G48" s="139" t="str">
        <f>VLOOKUP(A48,'10-year CDS Spreads'!$A$2:$D$158,4,FALSE)</f>
        <v>NA</v>
      </c>
      <c r="H48" s="11" t="str">
        <f t="shared" si="3"/>
        <v>NA</v>
      </c>
      <c r="I48" s="14" t="str">
        <f t="shared" si="4"/>
        <v>NA</v>
      </c>
    </row>
    <row r="49" spans="1:9" ht="16">
      <c r="A49" s="105" t="str">
        <f>'Sovereign Ratings (Moody''s,S&amp;P)'!A42</f>
        <v>Curacao</v>
      </c>
      <c r="B49" s="101" t="str">
        <f>VLOOKUP(A49,'Regional lookup table'!$A$2:$B$162,2,FALSE)</f>
        <v>Caribbean</v>
      </c>
      <c r="C49" s="9" t="str">
        <f>VLOOKUP(A49,'Sovereign Ratings (Moody''s,S&amp;P)'!$A$2:$D$158,4,FALSE)</f>
        <v>Baa3</v>
      </c>
      <c r="D49" s="21">
        <f t="shared" si="0"/>
        <v>2.091491502586354E-2</v>
      </c>
      <c r="E49" s="21">
        <f t="shared" si="1"/>
        <v>7.979143589877824E-2</v>
      </c>
      <c r="F49" s="11">
        <f t="shared" si="2"/>
        <v>3.2091435898778241E-2</v>
      </c>
      <c r="G49" s="139" t="str">
        <f>VLOOKUP(A49,'10-year CDS Spreads'!$A$2:$D$158,4,FALSE)</f>
        <v>NA</v>
      </c>
      <c r="H49" s="11" t="str">
        <f t="shared" si="3"/>
        <v>NA</v>
      </c>
      <c r="I49" s="14" t="str">
        <f t="shared" si="4"/>
        <v>NA</v>
      </c>
    </row>
    <row r="50" spans="1:9" ht="16">
      <c r="A50" s="105" t="str">
        <f>'Sovereign Ratings (Moody''s,S&amp;P)'!A43</f>
        <v>Cyprus</v>
      </c>
      <c r="B50" s="101" t="str">
        <f>VLOOKUP(A50,'Regional lookup table'!$A$2:$B$162,2,FALSE)</f>
        <v>Western Europe</v>
      </c>
      <c r="C50" s="9" t="str">
        <f>VLOOKUP(A50,'Sovereign Ratings (Moody''s,S&amp;P)'!$A$2:$D$158,4,FALSE)</f>
        <v>A3</v>
      </c>
      <c r="D50" s="21">
        <f t="shared" si="0"/>
        <v>1.1408135468652839E-2</v>
      </c>
      <c r="E50" s="21">
        <f t="shared" si="1"/>
        <v>6.5204419581151765E-2</v>
      </c>
      <c r="F50" s="11">
        <f t="shared" si="2"/>
        <v>1.7504419581151766E-2</v>
      </c>
      <c r="G50" s="139">
        <f>VLOOKUP(A50,'10-year CDS Spreads'!$A$2:$D$158,4,FALSE)</f>
        <v>5.0000000000000001E-3</v>
      </c>
      <c r="H50" s="11">
        <f t="shared" si="3"/>
        <v>5.5371902051500985E-2</v>
      </c>
      <c r="I50" s="14">
        <f t="shared" si="4"/>
        <v>7.6719020515009818E-3</v>
      </c>
    </row>
    <row r="51" spans="1:9" ht="16">
      <c r="A51" s="105" t="str">
        <f>'Sovereign Ratings (Moody''s,S&amp;P)'!A44</f>
        <v>Czech Republic</v>
      </c>
      <c r="B51" s="101" t="str">
        <f>VLOOKUP(A51,'Regional lookup table'!$A$2:$B$162,2,FALSE)</f>
        <v>Eastern Europe &amp; Russia</v>
      </c>
      <c r="C51" s="9" t="str">
        <f>VLOOKUP(A51,'Sovereign Ratings (Moody''s,S&amp;P)'!$A$2:$D$158,4,FALSE)</f>
        <v>Aa3</v>
      </c>
      <c r="D51" s="21">
        <f t="shared" si="0"/>
        <v>5.7040677343264193E-3</v>
      </c>
      <c r="E51" s="21">
        <f t="shared" si="1"/>
        <v>5.6452209790575886E-2</v>
      </c>
      <c r="F51" s="11">
        <f t="shared" si="2"/>
        <v>8.7522097905758829E-3</v>
      </c>
      <c r="G51" s="139">
        <f>VLOOKUP(A51,'10-year CDS Spreads'!$A$2:$D$158,4,FALSE)</f>
        <v>3.4000000000000002E-3</v>
      </c>
      <c r="H51" s="11">
        <f t="shared" si="3"/>
        <v>5.2916893395020669E-2</v>
      </c>
      <c r="I51" s="14">
        <f t="shared" si="4"/>
        <v>5.2168933950206683E-3</v>
      </c>
    </row>
    <row r="52" spans="1:9" ht="16">
      <c r="A52" s="105" t="str">
        <f>'Sovereign Ratings (Moody''s,S&amp;P)'!A45</f>
        <v>Denmark</v>
      </c>
      <c r="B52" s="101" t="str">
        <f>VLOOKUP(A52,'Regional lookup table'!$A$2:$B$162,2,FALSE)</f>
        <v>Western Europe</v>
      </c>
      <c r="C52" s="9" t="str">
        <f>VLOOKUP(A52,'Sovereign Ratings (Moody''s,S&amp;P)'!$A$2:$D$158,4,FALSE)</f>
        <v>Aaa</v>
      </c>
      <c r="D52" s="21">
        <f t="shared" si="0"/>
        <v>0</v>
      </c>
      <c r="E52" s="21">
        <f t="shared" si="1"/>
        <v>4.7699999999999999E-2</v>
      </c>
      <c r="F52" s="11">
        <f t="shared" si="2"/>
        <v>0</v>
      </c>
      <c r="G52" s="139">
        <f>VLOOKUP(A52,'10-year CDS Spreads'!$A$2:$D$158,4,FALSE)</f>
        <v>3.0000000000000014E-4</v>
      </c>
      <c r="H52" s="11">
        <f t="shared" si="3"/>
        <v>4.8160314123090062E-2</v>
      </c>
      <c r="I52" s="14">
        <f t="shared" si="4"/>
        <v>4.6031412309005911E-4</v>
      </c>
    </row>
    <row r="53" spans="1:9" ht="16">
      <c r="A53" s="105" t="str">
        <f>'Sovereign Ratings (Moody''s,S&amp;P)'!A46</f>
        <v>Dominican Republic</v>
      </c>
      <c r="B53" s="101" t="str">
        <f>VLOOKUP(A53,'Regional lookup table'!$A$2:$B$162,2,FALSE)</f>
        <v>Caribbean</v>
      </c>
      <c r="C53" s="9" t="str">
        <f>VLOOKUP(A53,'Sovereign Ratings (Moody''s,S&amp;P)'!$A$2:$D$158,4,FALSE)</f>
        <v>Ba2</v>
      </c>
      <c r="D53" s="21">
        <f t="shared" si="0"/>
        <v>2.863218313701105E-2</v>
      </c>
      <c r="E53" s="21">
        <f t="shared" si="1"/>
        <v>9.1632660909557379E-2</v>
      </c>
      <c r="F53" s="11">
        <f t="shared" si="2"/>
        <v>4.3932660909557379E-2</v>
      </c>
      <c r="G53" s="139" t="str">
        <f>VLOOKUP(A53,'10-year CDS Spreads'!$A$2:$D$158,4,FALSE)</f>
        <v>NA</v>
      </c>
      <c r="H53" s="11" t="str">
        <f t="shared" si="3"/>
        <v>NA</v>
      </c>
      <c r="I53" s="14" t="str">
        <f t="shared" si="4"/>
        <v>NA</v>
      </c>
    </row>
    <row r="54" spans="1:9" ht="16">
      <c r="A54" s="105" t="str">
        <f>'Sovereign Ratings (Moody''s,S&amp;P)'!A47</f>
        <v>Ecuador</v>
      </c>
      <c r="B54" s="101" t="str">
        <f>VLOOKUP(A54,'Regional lookup table'!$A$2:$B$162,2,FALSE)</f>
        <v>Central and South America</v>
      </c>
      <c r="C54" s="9" t="str">
        <f>VLOOKUP(A54,'Sovereign Ratings (Moody''s,S&amp;P)'!$A$2:$D$158,4,FALSE)</f>
        <v>Caa3</v>
      </c>
      <c r="D54" s="21">
        <f t="shared" si="0"/>
        <v>9.5179640037485941E-2</v>
      </c>
      <c r="E54" s="21">
        <f t="shared" si="1"/>
        <v>0.19374177513294266</v>
      </c>
      <c r="F54" s="11">
        <f t="shared" si="2"/>
        <v>0.14604177513294267</v>
      </c>
      <c r="G54" s="139">
        <f>VLOOKUP(A54,'10-year CDS Spreads'!$A$2:$D$158,4,FALSE)</f>
        <v>5.6800000000000003E-2</v>
      </c>
      <c r="H54" s="11">
        <f t="shared" si="3"/>
        <v>0.13485280730505117</v>
      </c>
      <c r="I54" s="14">
        <f t="shared" si="4"/>
        <v>8.7152807305051164E-2</v>
      </c>
    </row>
    <row r="55" spans="1:9" ht="16">
      <c r="A55" s="105" t="str">
        <f>'Sovereign Ratings (Moody''s,S&amp;P)'!A48</f>
        <v>Egypt</v>
      </c>
      <c r="B55" s="101" t="str">
        <f>VLOOKUP(A55,'Regional lookup table'!$A$2:$B$162,2,FALSE)</f>
        <v>Africa</v>
      </c>
      <c r="C55" s="9" t="str">
        <f>VLOOKUP(A55,'Sovereign Ratings (Moody''s,S&amp;P)'!$A$2:$D$158,4,FALSE)</f>
        <v>Caa1</v>
      </c>
      <c r="D55" s="21">
        <f t="shared" si="0"/>
        <v>7.1356768911769716E-2</v>
      </c>
      <c r="E55" s="21">
        <f t="shared" si="1"/>
        <v>0.15718842836053751</v>
      </c>
      <c r="F55" s="11">
        <f t="shared" si="2"/>
        <v>0.10948842836053752</v>
      </c>
      <c r="G55" s="139">
        <f>VLOOKUP(A55,'10-year CDS Spreads'!$A$2:$D$158,4,FALSE)</f>
        <v>4.9799999999999997E-2</v>
      </c>
      <c r="H55" s="11">
        <f t="shared" si="3"/>
        <v>0.12411214443294977</v>
      </c>
      <c r="I55" s="14">
        <f t="shared" si="4"/>
        <v>7.6412144432949775E-2</v>
      </c>
    </row>
    <row r="56" spans="1:9" ht="16">
      <c r="A56" s="105" t="str">
        <f>'Sovereign Ratings (Moody''s,S&amp;P)'!A49</f>
        <v>El Salvador</v>
      </c>
      <c r="B56" s="101" t="str">
        <f>VLOOKUP(A56,'Regional lookup table'!$A$2:$B$162,2,FALSE)</f>
        <v>Central and South America</v>
      </c>
      <c r="C56" s="9" t="str">
        <f>VLOOKUP(A56,'Sovereign Ratings (Moody''s,S&amp;P)'!$A$2:$D$158,4,FALSE)</f>
        <v>B3</v>
      </c>
      <c r="D56" s="21">
        <f t="shared" si="0"/>
        <v>6.1849989354559008E-2</v>
      </c>
      <c r="E56" s="21">
        <f t="shared" si="1"/>
        <v>0.14260141204291102</v>
      </c>
      <c r="F56" s="11">
        <f t="shared" si="2"/>
        <v>9.4901412042911026E-2</v>
      </c>
      <c r="G56" s="139">
        <f>VLOOKUP(A56,'10-year CDS Spreads'!$A$2:$D$158,4,FALSE)</f>
        <v>4.8000000000000001E-2</v>
      </c>
      <c r="H56" s="11">
        <f t="shared" si="3"/>
        <v>0.12135025969440943</v>
      </c>
      <c r="I56" s="14">
        <f t="shared" si="4"/>
        <v>7.3650259694409428E-2</v>
      </c>
    </row>
    <row r="57" spans="1:9" ht="16">
      <c r="A57" s="105" t="str">
        <f>'Sovereign Ratings (Moody''s,S&amp;P)'!A50</f>
        <v>Estonia</v>
      </c>
      <c r="B57" s="101" t="str">
        <f>VLOOKUP(A57,'Regional lookup table'!$A$2:$B$162,2,FALSE)</f>
        <v>Eastern Europe &amp; Russia</v>
      </c>
      <c r="C57" s="9" t="str">
        <f>VLOOKUP(A57,'Sovereign Ratings (Moody''s,S&amp;P)'!$A$2:$D$158,4,FALSE)</f>
        <v>A1</v>
      </c>
      <c r="D57" s="21">
        <f t="shared" si="0"/>
        <v>6.710667922736965E-3</v>
      </c>
      <c r="E57" s="21">
        <f t="shared" si="1"/>
        <v>5.7996717400677508E-2</v>
      </c>
      <c r="F57" s="11">
        <f t="shared" si="2"/>
        <v>1.0296717400677511E-2</v>
      </c>
      <c r="G57" s="139">
        <f>VLOOKUP(A57,'10-year CDS Spreads'!$A$2:$D$158,4,FALSE)</f>
        <v>7.899999999999999E-3</v>
      </c>
      <c r="H57" s="11">
        <f t="shared" si="3"/>
        <v>5.9821605241371548E-2</v>
      </c>
      <c r="I57" s="14">
        <f t="shared" si="4"/>
        <v>1.212160524137155E-2</v>
      </c>
    </row>
    <row r="58" spans="1:9" ht="16">
      <c r="A58" s="105" t="str">
        <f>'Sovereign Ratings (Moody''s,S&amp;P)'!A51</f>
        <v>Ethiopia</v>
      </c>
      <c r="B58" s="101" t="str">
        <f>VLOOKUP(A58,'Regional lookup table'!$A$2:$B$162,2,FALSE)</f>
        <v>Africa</v>
      </c>
      <c r="C58" s="9" t="str">
        <f>VLOOKUP(A58,'Sovereign Ratings (Moody''s,S&amp;P)'!$A$2:$D$158,4,FALSE)</f>
        <v>Caa2</v>
      </c>
      <c r="D58" s="21">
        <f t="shared" si="0"/>
        <v>8.5672860480275226E-2</v>
      </c>
      <c r="E58" s="21">
        <f t="shared" si="1"/>
        <v>0.17915475881531617</v>
      </c>
      <c r="F58" s="11">
        <f t="shared" si="2"/>
        <v>0.13145475881531618</v>
      </c>
      <c r="G58" s="139" t="str">
        <f>VLOOKUP(A58,'10-year CDS Spreads'!$A$2:$D$158,4,FALSE)</f>
        <v>NA</v>
      </c>
      <c r="H58" s="11" t="str">
        <f t="shared" si="3"/>
        <v>NA</v>
      </c>
      <c r="I58" s="14" t="str">
        <f t="shared" si="4"/>
        <v>NA</v>
      </c>
    </row>
    <row r="59" spans="1:9" ht="16">
      <c r="A59" s="105" t="str">
        <f>'Sovereign Ratings (Moody''s,S&amp;P)'!A52</f>
        <v>Fiji</v>
      </c>
      <c r="B59" s="101" t="str">
        <f>VLOOKUP(A59,'Regional lookup table'!$A$2:$B$162,2,FALSE)</f>
        <v>Asia</v>
      </c>
      <c r="C59" s="9" t="str">
        <f>VLOOKUP(A59,'Sovereign Ratings (Moody''s,S&amp;P)'!$A$2:$D$158,4,FALSE)</f>
        <v>B1</v>
      </c>
      <c r="D59" s="21">
        <f t="shared" si="0"/>
        <v>4.2836430240137613E-2</v>
      </c>
      <c r="E59" s="21">
        <f t="shared" si="1"/>
        <v>0.1134273794076581</v>
      </c>
      <c r="F59" s="11">
        <f t="shared" si="2"/>
        <v>6.572737940765809E-2</v>
      </c>
      <c r="G59" s="139" t="str">
        <f>VLOOKUP(A59,'10-year CDS Spreads'!$A$2:$D$158,4,FALSE)</f>
        <v>NA</v>
      </c>
      <c r="H59" s="11" t="str">
        <f t="shared" si="3"/>
        <v>NA</v>
      </c>
      <c r="I59" s="14" t="str">
        <f t="shared" si="4"/>
        <v>NA</v>
      </c>
    </row>
    <row r="60" spans="1:9" ht="16">
      <c r="A60" s="105" t="str">
        <f>'Sovereign Ratings (Moody''s,S&amp;P)'!A53</f>
        <v>Finland</v>
      </c>
      <c r="B60" s="101" t="str">
        <f>VLOOKUP(A60,'Regional lookup table'!$A$2:$B$162,2,FALSE)</f>
        <v>Western Europe</v>
      </c>
      <c r="C60" s="9" t="str">
        <f>VLOOKUP(A60,'Sovereign Ratings (Moody''s,S&amp;P)'!$A$2:$D$158,4,FALSE)</f>
        <v>Aa1</v>
      </c>
      <c r="D60" s="21">
        <f t="shared" si="0"/>
        <v>2.6131717269259457E-3</v>
      </c>
      <c r="E60" s="21">
        <f t="shared" si="1"/>
        <v>5.1709599506545502E-2</v>
      </c>
      <c r="F60" s="11">
        <f t="shared" si="2"/>
        <v>4.0095995065455052E-3</v>
      </c>
      <c r="G60" s="139">
        <f>VLOOKUP(A60,'10-year CDS Spreads'!$A$2:$D$158,4,FALSE)</f>
        <v>1.1999999999999999E-3</v>
      </c>
      <c r="H60" s="11">
        <f t="shared" si="3"/>
        <v>4.9541256492360235E-2</v>
      </c>
      <c r="I60" s="14">
        <f t="shared" si="4"/>
        <v>1.8412564923602354E-3</v>
      </c>
    </row>
    <row r="61" spans="1:9" ht="16">
      <c r="A61" s="105" t="str">
        <f>'Sovereign Ratings (Moody''s,S&amp;P)'!A54</f>
        <v>France</v>
      </c>
      <c r="B61" s="101" t="str">
        <f>VLOOKUP(A61,'Regional lookup table'!$A$2:$B$162,2,FALSE)</f>
        <v>Western Europe</v>
      </c>
      <c r="C61" s="9" t="str">
        <f>VLOOKUP(A61,'Sovereign Ratings (Moody''s,S&amp;P)'!$A$2:$D$158,4,FALSE)</f>
        <v>Aa3</v>
      </c>
      <c r="D61" s="21">
        <f t="shared" si="0"/>
        <v>5.7040677343264193E-3</v>
      </c>
      <c r="E61" s="21">
        <f t="shared" si="1"/>
        <v>5.6452209790575886E-2</v>
      </c>
      <c r="F61" s="11">
        <f t="shared" si="2"/>
        <v>8.7522097905758829E-3</v>
      </c>
      <c r="G61" s="139">
        <f>VLOOKUP(A61,'10-year CDS Spreads'!$A$2:$D$158,4,FALSE)</f>
        <v>5.0000000000000001E-3</v>
      </c>
      <c r="H61" s="11">
        <f t="shared" si="3"/>
        <v>5.5371902051500985E-2</v>
      </c>
      <c r="I61" s="14">
        <f t="shared" si="4"/>
        <v>7.6719020515009818E-3</v>
      </c>
    </row>
    <row r="62" spans="1:9" ht="16">
      <c r="A62" s="105" t="str">
        <f>'Sovereign Ratings (Moody''s,S&amp;P)'!A55</f>
        <v>Gabon</v>
      </c>
      <c r="B62" s="101" t="str">
        <f>VLOOKUP(A62,'Regional lookup table'!$A$2:$B$162,2,FALSE)</f>
        <v>Africa</v>
      </c>
      <c r="C62" s="9" t="str">
        <f>VLOOKUP(A62,'Sovereign Ratings (Moody''s,S&amp;P)'!$A$2:$D$158,4,FALSE)</f>
        <v>Caa2</v>
      </c>
      <c r="D62" s="21">
        <f t="shared" si="0"/>
        <v>8.5672860480275226E-2</v>
      </c>
      <c r="E62" s="21">
        <f t="shared" si="1"/>
        <v>0.17915475881531617</v>
      </c>
      <c r="F62" s="11">
        <f t="shared" si="2"/>
        <v>0.13145475881531618</v>
      </c>
      <c r="G62" s="139" t="str">
        <f>VLOOKUP(A62,'10-year CDS Spreads'!$A$2:$D$158,4,FALSE)</f>
        <v>NA</v>
      </c>
      <c r="H62" s="11" t="str">
        <f t="shared" si="3"/>
        <v>NA</v>
      </c>
      <c r="I62" s="14" t="str">
        <f t="shared" si="4"/>
        <v>NA</v>
      </c>
    </row>
    <row r="63" spans="1:9" ht="16">
      <c r="A63" s="105" t="str">
        <f>'Sovereign Ratings (Moody''s,S&amp;P)'!A56</f>
        <v>Georgia</v>
      </c>
      <c r="B63" s="101" t="str">
        <f>VLOOKUP(A63,'Regional lookup table'!$A$2:$B$162,2,FALSE)</f>
        <v>Eastern Europe &amp; Russia</v>
      </c>
      <c r="C63" s="9" t="str">
        <f>VLOOKUP(A63,'Sovereign Ratings (Moody''s,S&amp;P)'!$A$2:$D$158,4,FALSE)</f>
        <v>Ba2</v>
      </c>
      <c r="D63" s="21">
        <f t="shared" si="0"/>
        <v>2.863218313701105E-2</v>
      </c>
      <c r="E63" s="21">
        <f t="shared" si="1"/>
        <v>9.1632660909557379E-2</v>
      </c>
      <c r="F63" s="11">
        <f t="shared" si="2"/>
        <v>4.3932660909557379E-2</v>
      </c>
      <c r="G63" s="139" t="str">
        <f>VLOOKUP(A63,'10-year CDS Spreads'!$A$2:$D$158,4,FALSE)</f>
        <v>NA</v>
      </c>
      <c r="H63" s="11" t="str">
        <f t="shared" si="3"/>
        <v>NA</v>
      </c>
      <c r="I63" s="14" t="str">
        <f t="shared" si="4"/>
        <v>NA</v>
      </c>
    </row>
    <row r="64" spans="1:9" ht="16">
      <c r="A64" s="105" t="str">
        <f>'Sovereign Ratings (Moody''s,S&amp;P)'!A57</f>
        <v>Germany</v>
      </c>
      <c r="B64" s="101" t="str">
        <f>VLOOKUP(A64,'Regional lookup table'!$A$2:$B$162,2,FALSE)</f>
        <v>Western Europe</v>
      </c>
      <c r="C64" s="9" t="str">
        <f>VLOOKUP(A64,'Sovereign Ratings (Moody''s,S&amp;P)'!$A$2:$D$158,4,FALSE)</f>
        <v>Aaa</v>
      </c>
      <c r="D64" s="21">
        <f t="shared" si="0"/>
        <v>0</v>
      </c>
      <c r="E64" s="21">
        <f t="shared" si="1"/>
        <v>4.7699999999999999E-2</v>
      </c>
      <c r="F64" s="11">
        <f t="shared" si="2"/>
        <v>0</v>
      </c>
      <c r="G64" s="139">
        <f>VLOOKUP(A64,'10-year CDS Spreads'!$A$2:$D$158,4,FALSE)</f>
        <v>3.9999999999999996E-4</v>
      </c>
      <c r="H64" s="11">
        <f t="shared" si="3"/>
        <v>4.831375216412008E-2</v>
      </c>
      <c r="I64" s="14">
        <f t="shared" si="4"/>
        <v>6.1375216412007849E-4</v>
      </c>
    </row>
    <row r="65" spans="1:9" ht="16">
      <c r="A65" s="105" t="str">
        <f>'Sovereign Ratings (Moody''s,S&amp;P)'!A58</f>
        <v>Ghana</v>
      </c>
      <c r="B65" s="101" t="str">
        <f>VLOOKUP(A65,'Regional lookup table'!$A$2:$B$162,2,FALSE)</f>
        <v>Africa</v>
      </c>
      <c r="C65" s="9" t="str">
        <f>VLOOKUP(A65,'Sovereign Ratings (Moody''s,S&amp;P)'!$A$2:$D$158,4,FALSE)</f>
        <v>Caa1</v>
      </c>
      <c r="D65" s="21">
        <f t="shared" si="0"/>
        <v>7.1356768911769716E-2</v>
      </c>
      <c r="E65" s="21">
        <f t="shared" si="1"/>
        <v>0.15718842836053751</v>
      </c>
      <c r="F65" s="11">
        <f t="shared" si="2"/>
        <v>0.10948842836053752</v>
      </c>
      <c r="G65" s="139" t="str">
        <f>VLOOKUP(A65,'10-year CDS Spreads'!$A$2:$D$158,4,FALSE)</f>
        <v>NA</v>
      </c>
      <c r="H65" s="11" t="str">
        <f t="shared" si="3"/>
        <v>NA</v>
      </c>
      <c r="I65" s="14" t="str">
        <f t="shared" si="4"/>
        <v>NA</v>
      </c>
    </row>
    <row r="66" spans="1:9" ht="16">
      <c r="A66" s="105" t="str">
        <f>'Sovereign Ratings (Moody''s,S&amp;P)'!A59</f>
        <v>Greece</v>
      </c>
      <c r="B66" s="101" t="str">
        <f>VLOOKUP(A66,'Regional lookup table'!$A$2:$B$162,2,FALSE)</f>
        <v>Western Europe</v>
      </c>
      <c r="C66" s="9" t="str">
        <f>VLOOKUP(A66,'Sovereign Ratings (Moody''s,S&amp;P)'!$A$2:$D$158,4,FALSE)</f>
        <v>Baa3</v>
      </c>
      <c r="D66" s="21">
        <f t="shared" si="0"/>
        <v>2.091491502586354E-2</v>
      </c>
      <c r="E66" s="21">
        <f t="shared" si="1"/>
        <v>7.979143589877824E-2</v>
      </c>
      <c r="F66" s="11">
        <f t="shared" si="2"/>
        <v>3.2091435898778241E-2</v>
      </c>
      <c r="G66" s="139">
        <f>VLOOKUP(A66,'10-year CDS Spreads'!$A$2:$D$158,4,FALSE)</f>
        <v>6.2000000000000006E-3</v>
      </c>
      <c r="H66" s="11">
        <f t="shared" si="3"/>
        <v>5.721315854386122E-2</v>
      </c>
      <c r="I66" s="14">
        <f t="shared" si="4"/>
        <v>9.5131585438612189E-3</v>
      </c>
    </row>
    <row r="67" spans="1:9" ht="16">
      <c r="A67" s="105" t="str">
        <f>'Sovereign Ratings (Moody''s,S&amp;P)'!A60</f>
        <v>Guatemala</v>
      </c>
      <c r="B67" s="101" t="str">
        <f>VLOOKUP(A67,'Regional lookup table'!$A$2:$B$162,2,FALSE)</f>
        <v>Central and South America</v>
      </c>
      <c r="C67" s="9" t="str">
        <f>VLOOKUP(A67,'Sovereign Ratings (Moody''s,S&amp;P)'!$A$2:$D$158,4,FALSE)</f>
        <v>Ba1</v>
      </c>
      <c r="D67" s="21">
        <f t="shared" si="0"/>
        <v>2.3822871125716225E-2</v>
      </c>
      <c r="E67" s="21">
        <f t="shared" si="1"/>
        <v>8.425334677240516E-2</v>
      </c>
      <c r="F67" s="11">
        <f t="shared" si="2"/>
        <v>3.6553346772405161E-2</v>
      </c>
      <c r="G67" s="139" t="str">
        <f>VLOOKUP(A67,'10-year CDS Spreads'!$A$2:$D$158,4,FALSE)</f>
        <v>NA</v>
      </c>
      <c r="H67" s="11" t="str">
        <f t="shared" si="3"/>
        <v>NA</v>
      </c>
      <c r="I67" s="14" t="str">
        <f t="shared" si="4"/>
        <v>NA</v>
      </c>
    </row>
    <row r="68" spans="1:9" ht="16">
      <c r="A68" s="105" t="str">
        <f>'Sovereign Ratings (Moody''s,S&amp;P)'!A61</f>
        <v>Guernsey (States of)</v>
      </c>
      <c r="B68" s="101" t="str">
        <f>VLOOKUP(A68,'Regional lookup table'!$A$2:$B$162,2,FALSE)</f>
        <v>Western Europe</v>
      </c>
      <c r="C68" s="9" t="str">
        <f>VLOOKUP(A68,'Sovereign Ratings (Moody''s,S&amp;P)'!$A$2:$D$158,4,FALSE)</f>
        <v>A1</v>
      </c>
      <c r="D68" s="21">
        <f t="shared" si="0"/>
        <v>6.710667922736965E-3</v>
      </c>
      <c r="E68" s="21">
        <f t="shared" si="1"/>
        <v>5.7996717400677508E-2</v>
      </c>
      <c r="F68" s="11">
        <f t="shared" si="2"/>
        <v>1.0296717400677511E-2</v>
      </c>
      <c r="G68" s="139" t="str">
        <f>VLOOKUP(A68,'10-year CDS Spreads'!$A$2:$D$158,4,FALSE)</f>
        <v>NA</v>
      </c>
      <c r="H68" s="11" t="str">
        <f t="shared" si="3"/>
        <v>NA</v>
      </c>
      <c r="I68" s="14" t="str">
        <f t="shared" si="4"/>
        <v>NA</v>
      </c>
    </row>
    <row r="69" spans="1:9" ht="16">
      <c r="A69" s="105" t="str">
        <f>'Sovereign Ratings (Moody''s,S&amp;P)'!A62</f>
        <v>Honduras</v>
      </c>
      <c r="B69" s="101" t="str">
        <f>VLOOKUP(A69,'Regional lookup table'!$A$2:$B$162,2,FALSE)</f>
        <v>Central and South America</v>
      </c>
      <c r="C69" s="9" t="str">
        <f>VLOOKUP(A69,'Sovereign Ratings (Moody''s,S&amp;P)'!$A$2:$D$158,4,FALSE)</f>
        <v>B1</v>
      </c>
      <c r="D69" s="21">
        <f t="shared" si="0"/>
        <v>4.2836430240137613E-2</v>
      </c>
      <c r="E69" s="21">
        <f t="shared" si="1"/>
        <v>0.1134273794076581</v>
      </c>
      <c r="F69" s="11">
        <f t="shared" si="2"/>
        <v>6.572737940765809E-2</v>
      </c>
      <c r="G69" s="139" t="str">
        <f>VLOOKUP(A69,'10-year CDS Spreads'!$A$2:$D$158,4,FALSE)</f>
        <v>NA</v>
      </c>
      <c r="H69" s="11" t="str">
        <f t="shared" si="3"/>
        <v>NA</v>
      </c>
      <c r="I69" s="14" t="str">
        <f t="shared" si="4"/>
        <v>NA</v>
      </c>
    </row>
    <row r="70" spans="1:9" ht="16">
      <c r="A70" s="105" t="str">
        <f>'Sovereign Ratings (Moody''s,S&amp;P)'!A63</f>
        <v>Hong Kong</v>
      </c>
      <c r="B70" s="101" t="str">
        <f>VLOOKUP(A70,'Regional lookup table'!$A$2:$B$162,2,FALSE)</f>
        <v>Asia</v>
      </c>
      <c r="C70" s="9" t="str">
        <f>VLOOKUP(A70,'Sovereign Ratings (Moody''s,S&amp;P)'!$A$2:$D$158,4,FALSE)</f>
        <v>Aa3</v>
      </c>
      <c r="D70" s="21">
        <f t="shared" si="0"/>
        <v>5.7040677343264193E-3</v>
      </c>
      <c r="E70" s="21">
        <f t="shared" si="1"/>
        <v>5.6452209790575886E-2</v>
      </c>
      <c r="F70" s="11">
        <f t="shared" si="2"/>
        <v>8.7522097905758829E-3</v>
      </c>
      <c r="G70" s="139">
        <f>VLOOKUP(A70,'10-year CDS Spreads'!$A$2:$D$158,4,FALSE)</f>
        <v>2.7999999999999995E-3</v>
      </c>
      <c r="H70" s="11">
        <f t="shared" si="3"/>
        <v>5.1996265148840551E-2</v>
      </c>
      <c r="I70" s="14">
        <f t="shared" si="4"/>
        <v>4.2962651488405489E-3</v>
      </c>
    </row>
    <row r="71" spans="1:9" ht="16">
      <c r="A71" s="105" t="str">
        <f>'Sovereign Ratings (Moody''s,S&amp;P)'!A64</f>
        <v>Hungary</v>
      </c>
      <c r="B71" s="101" t="str">
        <f>VLOOKUP(A71,'Regional lookup table'!$A$2:$B$162,2,FALSE)</f>
        <v>Eastern Europe &amp; Russia</v>
      </c>
      <c r="C71" s="9" t="str">
        <f>VLOOKUP(A71,'Sovereign Ratings (Moody''s,S&amp;P)'!$A$2:$D$158,4,FALSE)</f>
        <v>Baa2</v>
      </c>
      <c r="D71" s="21">
        <f t="shared" si="0"/>
        <v>1.8118803391389805E-2</v>
      </c>
      <c r="E71" s="21">
        <f t="shared" si="1"/>
        <v>7.5501136981829281E-2</v>
      </c>
      <c r="F71" s="11">
        <f t="shared" si="2"/>
        <v>2.7801136981829278E-2</v>
      </c>
      <c r="G71" s="139">
        <f>VLOOKUP(A71,'10-year CDS Spreads'!$A$2:$D$158,4,FALSE)</f>
        <v>1.5199999999999998E-2</v>
      </c>
      <c r="H71" s="11">
        <f t="shared" si="3"/>
        <v>7.1022582236562978E-2</v>
      </c>
      <c r="I71" s="14">
        <f t="shared" si="4"/>
        <v>2.3322582236562982E-2</v>
      </c>
    </row>
    <row r="72" spans="1:9" ht="16">
      <c r="A72" s="105" t="str">
        <f>'Sovereign Ratings (Moody''s,S&amp;P)'!A65</f>
        <v>Iceland</v>
      </c>
      <c r="B72" s="101" t="str">
        <f>VLOOKUP(A72,'Regional lookup table'!$A$2:$B$162,2,FALSE)</f>
        <v>Western Europe</v>
      </c>
      <c r="C72" s="9" t="str">
        <f>VLOOKUP(A72,'Sovereign Ratings (Moody''s,S&amp;P)'!$A$2:$D$158,4,FALSE)</f>
        <v>A1</v>
      </c>
      <c r="D72" s="21">
        <f t="shared" si="0"/>
        <v>6.710667922736965E-3</v>
      </c>
      <c r="E72" s="21">
        <f t="shared" si="1"/>
        <v>5.7996717400677508E-2</v>
      </c>
      <c r="F72" s="11">
        <f t="shared" si="2"/>
        <v>1.0296717400677511E-2</v>
      </c>
      <c r="G72" s="139">
        <f>VLOOKUP(A72,'10-year CDS Spreads'!$A$2:$D$158,4,FALSE)</f>
        <v>2.4999999999999996E-3</v>
      </c>
      <c r="H72" s="11">
        <f t="shared" si="3"/>
        <v>5.1535951025750489E-2</v>
      </c>
      <c r="I72" s="14">
        <f t="shared" si="4"/>
        <v>3.8359510257504901E-3</v>
      </c>
    </row>
    <row r="73" spans="1:9" ht="16">
      <c r="A73" s="105" t="str">
        <f>'Sovereign Ratings (Moody''s,S&amp;P)'!A66</f>
        <v>India</v>
      </c>
      <c r="B73" s="101" t="str">
        <f>VLOOKUP(A73,'Regional lookup table'!$A$2:$B$162,2,FALSE)</f>
        <v>Asia</v>
      </c>
      <c r="C73" s="9" t="str">
        <f>VLOOKUP(A73,'Sovereign Ratings (Moody''s,S&amp;P)'!$A$2:$D$158,4,FALSE)</f>
        <v>Baa3</v>
      </c>
      <c r="D73" s="21">
        <f t="shared" si="0"/>
        <v>2.091491502586354E-2</v>
      </c>
      <c r="E73" s="21">
        <f t="shared" si="1"/>
        <v>7.979143589877824E-2</v>
      </c>
      <c r="F73" s="11">
        <f t="shared" si="2"/>
        <v>3.2091435898778241E-2</v>
      </c>
      <c r="G73" s="139">
        <f>VLOOKUP(A73,'10-year CDS Spreads'!$A$2:$D$158,4,FALSE)</f>
        <v>8.5000000000000006E-3</v>
      </c>
      <c r="H73" s="11">
        <f t="shared" si="3"/>
        <v>6.0742233487551672E-2</v>
      </c>
      <c r="I73" s="14">
        <f t="shared" si="4"/>
        <v>1.3042233487551669E-2</v>
      </c>
    </row>
    <row r="74" spans="1:9" ht="16">
      <c r="A74" s="105" t="str">
        <f>'Sovereign Ratings (Moody''s,S&amp;P)'!A67</f>
        <v>Indonesia</v>
      </c>
      <c r="B74" s="101" t="str">
        <f>VLOOKUP(A74,'Regional lookup table'!$A$2:$B$162,2,FALSE)</f>
        <v>Asia</v>
      </c>
      <c r="C74" s="9" t="str">
        <f>VLOOKUP(A74,'Sovereign Ratings (Moody''s,S&amp;P)'!$A$2:$D$158,4,FALSE)</f>
        <v>Baa2</v>
      </c>
      <c r="D74" s="21">
        <f t="shared" ref="D74:D138" si="6">VLOOKUP(C74,$J$10:$K$32,2,FALSE)/10000</f>
        <v>1.8118803391389805E-2</v>
      </c>
      <c r="E74" s="21">
        <f t="shared" ref="E74:E138" si="7">$E$3+F74</f>
        <v>7.5501136981829281E-2</v>
      </c>
      <c r="F74" s="11">
        <f t="shared" ref="F74:F138" si="8">IF($E$5="Yes",D74*$E$6,D74)</f>
        <v>2.7801136981829278E-2</v>
      </c>
      <c r="G74" s="139">
        <f>VLOOKUP(A74,'10-year CDS Spreads'!$A$2:$D$158,4,FALSE)</f>
        <v>1.4200000000000001E-2</v>
      </c>
      <c r="H74" s="11">
        <f>IF(I74="NA","NA",$E$3+I74)</f>
        <v>6.9488201826262794E-2</v>
      </c>
      <c r="I74" s="14">
        <f t="shared" ref="I74:I141" si="9">IF(G74="NA","NA",G74*$E$6)</f>
        <v>2.1788201826262791E-2</v>
      </c>
    </row>
    <row r="75" spans="1:9" ht="16">
      <c r="A75" s="105" t="str">
        <f>'Sovereign Ratings (Moody''s,S&amp;P)'!A68</f>
        <v>Iraq</v>
      </c>
      <c r="B75" s="101" t="str">
        <f>VLOOKUP(A75,'Regional lookup table'!$A$2:$B$162,2,FALSE)</f>
        <v>Middle East</v>
      </c>
      <c r="C75" s="9" t="str">
        <f>VLOOKUP(A75,'Sovereign Ratings (Moody''s,S&amp;P)'!$A$2:$D$158,4,FALSE)</f>
        <v>Caa1</v>
      </c>
      <c r="D75" s="21">
        <f t="shared" si="6"/>
        <v>7.1356768911769716E-2</v>
      </c>
      <c r="E75" s="21">
        <f t="shared" si="7"/>
        <v>0.15718842836053751</v>
      </c>
      <c r="F75" s="11">
        <f t="shared" si="8"/>
        <v>0.10948842836053752</v>
      </c>
      <c r="G75" s="139">
        <f>VLOOKUP(A75,'10-year CDS Spreads'!$A$2:$D$158,4,FALSE)</f>
        <v>5.7099999999999998E-2</v>
      </c>
      <c r="H75" s="11">
        <f t="shared" ref="H75:H145" si="10">IF(I75="NA","NA",$E$3+I75)</f>
        <v>0.1353131214281412</v>
      </c>
      <c r="I75" s="14">
        <f t="shared" si="9"/>
        <v>8.7613121428141205E-2</v>
      </c>
    </row>
    <row r="76" spans="1:9" ht="16">
      <c r="A76" s="105" t="str">
        <f>'Sovereign Ratings (Moody''s,S&amp;P)'!A69</f>
        <v>Ireland</v>
      </c>
      <c r="B76" s="101" t="str">
        <f>VLOOKUP(A76,'Regional lookup table'!$A$2:$B$162,2,FALSE)</f>
        <v>Western Europe</v>
      </c>
      <c r="C76" s="9" t="str">
        <f>VLOOKUP(A76,'Sovereign Ratings (Moody''s,S&amp;P)'!$A$2:$D$158,4,FALSE)</f>
        <v>Aa3</v>
      </c>
      <c r="D76" s="21">
        <f t="shared" si="6"/>
        <v>5.7040677343264193E-3</v>
      </c>
      <c r="E76" s="21">
        <f t="shared" si="7"/>
        <v>5.6452209790575886E-2</v>
      </c>
      <c r="F76" s="11">
        <f t="shared" si="8"/>
        <v>8.7522097905758829E-3</v>
      </c>
      <c r="G76" s="139">
        <f>VLOOKUP(A76,'10-year CDS Spreads'!$A$2:$D$158,4,FALSE)</f>
        <v>1.4E-3</v>
      </c>
      <c r="H76" s="11">
        <f t="shared" si="10"/>
        <v>4.9848132574420272E-2</v>
      </c>
      <c r="I76" s="14">
        <f t="shared" si="9"/>
        <v>2.1481325744202749E-3</v>
      </c>
    </row>
    <row r="77" spans="1:9" ht="16">
      <c r="A77" s="105" t="str">
        <f>'Sovereign Ratings (Moody''s,S&amp;P)'!A70</f>
        <v>Isle of Man</v>
      </c>
      <c r="B77" s="101" t="str">
        <f>VLOOKUP(A77,'Regional lookup table'!$A$2:$B$162,2,FALSE)</f>
        <v>Western Europe</v>
      </c>
      <c r="C77" s="9" t="str">
        <f>VLOOKUP(A77,'Sovereign Ratings (Moody''s,S&amp;P)'!$A$2:$D$158,4,FALSE)</f>
        <v>Aa3</v>
      </c>
      <c r="D77" s="21">
        <f t="shared" si="6"/>
        <v>5.7040677343264193E-3</v>
      </c>
      <c r="E77" s="21">
        <f t="shared" si="7"/>
        <v>5.6452209790575886E-2</v>
      </c>
      <c r="F77" s="11">
        <f t="shared" si="8"/>
        <v>8.7522097905758829E-3</v>
      </c>
      <c r="G77" s="139" t="str">
        <f>VLOOKUP(A77,'10-year CDS Spreads'!$A$2:$D$158,4,FALSE)</f>
        <v>NA</v>
      </c>
      <c r="H77" s="11" t="str">
        <f t="shared" si="10"/>
        <v>NA</v>
      </c>
      <c r="I77" s="14" t="str">
        <f t="shared" si="9"/>
        <v>NA</v>
      </c>
    </row>
    <row r="78" spans="1:9" ht="16">
      <c r="A78" s="105" t="str">
        <f>'Sovereign Ratings (Moody''s,S&amp;P)'!A71</f>
        <v>Israel</v>
      </c>
      <c r="B78" s="101" t="str">
        <f>VLOOKUP(A78,'Regional lookup table'!$A$2:$B$162,2,FALSE)</f>
        <v>Middle East</v>
      </c>
      <c r="C78" s="9" t="str">
        <f>VLOOKUP(A78,'Sovereign Ratings (Moody''s,S&amp;P)'!$A$2:$D$158,4,FALSE)</f>
        <v>Baa1</v>
      </c>
      <c r="D78" s="21">
        <f t="shared" si="6"/>
        <v>1.5210847291537115E-2</v>
      </c>
      <c r="E78" s="21">
        <f t="shared" si="7"/>
        <v>7.1039226108202347E-2</v>
      </c>
      <c r="F78" s="11">
        <f t="shared" si="8"/>
        <v>2.3339226108202347E-2</v>
      </c>
      <c r="G78" s="139">
        <f>VLOOKUP(A78,'10-year CDS Spreads'!$A$2:$D$158,4,FALSE)</f>
        <v>1.0800000000000001E-2</v>
      </c>
      <c r="H78" s="11">
        <f t="shared" si="10"/>
        <v>6.4271308431242125E-2</v>
      </c>
      <c r="I78" s="14">
        <f t="shared" si="9"/>
        <v>1.6571308431242122E-2</v>
      </c>
    </row>
    <row r="79" spans="1:9" ht="16">
      <c r="A79" s="105" t="str">
        <f>'Sovereign Ratings (Moody''s,S&amp;P)'!A72</f>
        <v>Italy</v>
      </c>
      <c r="B79" s="101" t="str">
        <f>VLOOKUP(A79,'Regional lookup table'!$A$2:$B$162,2,FALSE)</f>
        <v>Western Europe</v>
      </c>
      <c r="C79" s="9" t="str">
        <f>VLOOKUP(A79,'Sovereign Ratings (Moody''s,S&amp;P)'!$A$2:$D$158,4,FALSE)</f>
        <v>Baa2</v>
      </c>
      <c r="D79" s="21">
        <f t="shared" si="6"/>
        <v>1.8118803391389805E-2</v>
      </c>
      <c r="E79" s="21">
        <f t="shared" si="7"/>
        <v>7.5501136981829281E-2</v>
      </c>
      <c r="F79" s="11">
        <f t="shared" si="8"/>
        <v>2.7801136981829278E-2</v>
      </c>
      <c r="G79" s="139">
        <f>VLOOKUP(A79,'10-year CDS Spreads'!$A$2:$D$158,4,FALSE)</f>
        <v>5.4999999999999997E-3</v>
      </c>
      <c r="H79" s="11">
        <f t="shared" si="10"/>
        <v>5.6139092256651077E-2</v>
      </c>
      <c r="I79" s="14">
        <f t="shared" si="9"/>
        <v>8.4390922566510793E-3</v>
      </c>
    </row>
    <row r="80" spans="1:9" ht="16">
      <c r="A80" s="105" t="str">
        <f>'Sovereign Ratings (Moody''s,S&amp;P)'!A73</f>
        <v>Jamaica</v>
      </c>
      <c r="B80" s="101" t="str">
        <f>VLOOKUP(A80,'Regional lookup table'!$A$2:$B$162,2,FALSE)</f>
        <v>Caribbean</v>
      </c>
      <c r="C80" s="9" t="str">
        <f>VLOOKUP(A80,'Sovereign Ratings (Moody''s,S&amp;P)'!$A$2:$D$158,4,FALSE)</f>
        <v>Ba3</v>
      </c>
      <c r="D80" s="21">
        <f t="shared" si="6"/>
        <v>3.4224406405958516E-2</v>
      </c>
      <c r="E80" s="21">
        <f t="shared" si="7"/>
        <v>0.1002132587434553</v>
      </c>
      <c r="F80" s="11">
        <f t="shared" si="8"/>
        <v>5.2513258743455297E-2</v>
      </c>
      <c r="G80" s="139" t="str">
        <f>VLOOKUP(A80,'10-year CDS Spreads'!$A$2:$D$158,4,FALSE)</f>
        <v>NA</v>
      </c>
      <c r="H80" s="11" t="str">
        <f t="shared" si="10"/>
        <v>NA</v>
      </c>
      <c r="I80" s="14" t="str">
        <f t="shared" si="9"/>
        <v>NA</v>
      </c>
    </row>
    <row r="81" spans="1:9" ht="16">
      <c r="A81" s="105" t="str">
        <f>'Sovereign Ratings (Moody''s,S&amp;P)'!A74</f>
        <v>Japan</v>
      </c>
      <c r="B81" s="101" t="str">
        <f>VLOOKUP(A81,'Regional lookup table'!$A$2:$B$162,2,FALSE)</f>
        <v>Asia</v>
      </c>
      <c r="C81" s="9" t="str">
        <f>VLOOKUP(A81,'Sovereign Ratings (Moody''s,S&amp;P)'!$A$2:$D$158,4,FALSE)</f>
        <v>A1</v>
      </c>
      <c r="D81" s="21">
        <f t="shared" si="6"/>
        <v>6.710667922736965E-3</v>
      </c>
      <c r="E81" s="21">
        <f t="shared" si="7"/>
        <v>5.7996717400677508E-2</v>
      </c>
      <c r="F81" s="11">
        <f t="shared" si="8"/>
        <v>1.0296717400677511E-2</v>
      </c>
      <c r="G81" s="139">
        <f>VLOOKUP(A81,'10-year CDS Spreads'!$A$2:$D$158,4,FALSE)</f>
        <v>3.4000000000000002E-3</v>
      </c>
      <c r="H81" s="11">
        <f t="shared" si="10"/>
        <v>5.2916893395020669E-2</v>
      </c>
      <c r="I81" s="14">
        <f t="shared" si="9"/>
        <v>5.2168933950206683E-3</v>
      </c>
    </row>
    <row r="82" spans="1:9" ht="16">
      <c r="A82" s="105" t="str">
        <f>'Sovereign Ratings (Moody''s,S&amp;P)'!A75</f>
        <v>Jersey (States of)</v>
      </c>
      <c r="B82" s="101" t="str">
        <f>VLOOKUP(A82,'Regional lookup table'!$A$2:$B$162,2,FALSE)</f>
        <v>Western Europe</v>
      </c>
      <c r="C82" s="9" t="str">
        <f>VLOOKUP(A82,'Sovereign Ratings (Moody''s,S&amp;P)'!$A$2:$D$158,4,FALSE)</f>
        <v>Aa3</v>
      </c>
      <c r="D82" s="21">
        <f t="shared" si="6"/>
        <v>5.7040677343264193E-3</v>
      </c>
      <c r="E82" s="21">
        <f t="shared" si="7"/>
        <v>5.6452209790575886E-2</v>
      </c>
      <c r="F82" s="11">
        <f t="shared" si="8"/>
        <v>8.7522097905758829E-3</v>
      </c>
      <c r="G82" s="139" t="str">
        <f>VLOOKUP(A82,'10-year CDS Spreads'!$A$2:$D$158,4,FALSE)</f>
        <v>NA</v>
      </c>
      <c r="H82" s="11" t="str">
        <f t="shared" si="10"/>
        <v>NA</v>
      </c>
      <c r="I82" s="14" t="str">
        <f t="shared" si="9"/>
        <v>NA</v>
      </c>
    </row>
    <row r="83" spans="1:9" ht="16">
      <c r="A83" s="105" t="str">
        <f>'Sovereign Ratings (Moody''s,S&amp;P)'!A76</f>
        <v>Jordan</v>
      </c>
      <c r="B83" s="101" t="str">
        <f>VLOOKUP(A83,'Regional lookup table'!$A$2:$B$162,2,FALSE)</f>
        <v>Middle East</v>
      </c>
      <c r="C83" s="9" t="str">
        <f>VLOOKUP(A83,'Sovereign Ratings (Moody''s,S&amp;P)'!$A$2:$D$158,4,FALSE)</f>
        <v>Ba3</v>
      </c>
      <c r="D83" s="21">
        <f t="shared" si="6"/>
        <v>3.4224406405958516E-2</v>
      </c>
      <c r="E83" s="21">
        <f t="shared" si="7"/>
        <v>0.1002132587434553</v>
      </c>
      <c r="F83" s="11">
        <f t="shared" si="8"/>
        <v>5.2513258743455297E-2</v>
      </c>
      <c r="G83" s="139" t="str">
        <f>VLOOKUP(A83,'10-year CDS Spreads'!$A$2:$D$158,4,FALSE)</f>
        <v>NA</v>
      </c>
      <c r="H83" s="11" t="str">
        <f t="shared" si="10"/>
        <v>NA</v>
      </c>
      <c r="I83" s="14" t="str">
        <f t="shared" si="9"/>
        <v>NA</v>
      </c>
    </row>
    <row r="84" spans="1:9" ht="16">
      <c r="A84" s="105" t="str">
        <f>'Sovereign Ratings (Moody''s,S&amp;P)'!A77</f>
        <v>Kazakhstan</v>
      </c>
      <c r="B84" s="101" t="str">
        <f>VLOOKUP(A84,'Regional lookup table'!$A$2:$B$162,2,FALSE)</f>
        <v>Eastern Europe &amp; Russia</v>
      </c>
      <c r="C84" s="9" t="str">
        <f>VLOOKUP(A84,'Sovereign Ratings (Moody''s,S&amp;P)'!$A$2:$D$158,4,FALSE)</f>
        <v>Baa1</v>
      </c>
      <c r="D84" s="21">
        <f t="shared" si="6"/>
        <v>1.5210847291537115E-2</v>
      </c>
      <c r="E84" s="21">
        <f t="shared" si="7"/>
        <v>7.1039226108202347E-2</v>
      </c>
      <c r="F84" s="11">
        <f t="shared" si="8"/>
        <v>2.3339226108202347E-2</v>
      </c>
      <c r="G84" s="139">
        <f>VLOOKUP(A84,'10-year CDS Spreads'!$A$2:$D$158,4,FALSE)</f>
        <v>1.4599999999999998E-2</v>
      </c>
      <c r="H84" s="11">
        <f t="shared" si="10"/>
        <v>7.0101953990382868E-2</v>
      </c>
      <c r="I84" s="14">
        <f t="shared" si="9"/>
        <v>2.2401953990382865E-2</v>
      </c>
    </row>
    <row r="85" spans="1:9" ht="16">
      <c r="A85" s="105" t="str">
        <f>'Sovereign Ratings (Moody''s,S&amp;P)'!A78</f>
        <v>Kenya</v>
      </c>
      <c r="B85" s="101" t="str">
        <f>VLOOKUP(A85,'Regional lookup table'!$A$2:$B$162,2,FALSE)</f>
        <v>Africa</v>
      </c>
      <c r="C85" s="9" t="str">
        <f>VLOOKUP(A85,'Sovereign Ratings (Moody''s,S&amp;P)'!$A$2:$D$158,4,FALSE)</f>
        <v>B3</v>
      </c>
      <c r="D85" s="21">
        <f t="shared" si="6"/>
        <v>6.1849989354559008E-2</v>
      </c>
      <c r="E85" s="21">
        <f t="shared" si="7"/>
        <v>0.14260141204291102</v>
      </c>
      <c r="F85" s="11">
        <f t="shared" si="8"/>
        <v>9.4901412042911026E-2</v>
      </c>
      <c r="G85" s="139">
        <f>VLOOKUP(A85,'10-year CDS Spreads'!$A$2:$D$158,4,FALSE)</f>
        <v>5.8099999999999999E-2</v>
      </c>
      <c r="H85" s="11">
        <f t="shared" si="10"/>
        <v>0.13684750183844141</v>
      </c>
      <c r="I85" s="14">
        <f t="shared" si="9"/>
        <v>8.9147501838441404E-2</v>
      </c>
    </row>
    <row r="86" spans="1:9" ht="16">
      <c r="A86" s="105" t="str">
        <f>'Sovereign Ratings (Moody''s,S&amp;P)'!A79</f>
        <v>Korea</v>
      </c>
      <c r="B86" s="101" t="str">
        <f>VLOOKUP(A86,'Regional lookup table'!$A$2:$B$162,2,FALSE)</f>
        <v>Asia</v>
      </c>
      <c r="C86" s="9" t="str">
        <f>VLOOKUP(A86,'Sovereign Ratings (Moody''s,S&amp;P)'!$A$2:$D$158,4,FALSE)</f>
        <v>Aa2</v>
      </c>
      <c r="D86" s="21">
        <f t="shared" si="6"/>
        <v>4.6974675459158736E-3</v>
      </c>
      <c r="E86" s="21">
        <f t="shared" si="7"/>
        <v>5.4907702180474256E-2</v>
      </c>
      <c r="F86" s="11">
        <f t="shared" si="8"/>
        <v>7.2077021804742543E-3</v>
      </c>
      <c r="G86" s="139">
        <f>VLOOKUP(A86,'10-year CDS Spreads'!$A$2:$D$158,4,FALSE)</f>
        <v>3.3E-3</v>
      </c>
      <c r="H86" s="11">
        <f>IF(I86="NA","NA",$E$3+I86)</f>
        <v>5.276345535399065E-2</v>
      </c>
      <c r="I86" s="14">
        <f t="shared" si="9"/>
        <v>5.0634553539906481E-3</v>
      </c>
    </row>
    <row r="87" spans="1:9" ht="16">
      <c r="A87" s="105" t="str">
        <f>'Sovereign Ratings (Moody''s,S&amp;P)'!A80</f>
        <v>Kuwait</v>
      </c>
      <c r="B87" s="101" t="str">
        <f>VLOOKUP(A87,'Regional lookup table'!$A$2:$B$162,2,FALSE)</f>
        <v>Middle East</v>
      </c>
      <c r="C87" s="9" t="str">
        <f>VLOOKUP(A87,'Sovereign Ratings (Moody''s,S&amp;P)'!$A$2:$D$158,4,FALSE)</f>
        <v>A1</v>
      </c>
      <c r="D87" s="21">
        <f t="shared" si="6"/>
        <v>6.710667922736965E-3</v>
      </c>
      <c r="E87" s="21">
        <f t="shared" si="7"/>
        <v>5.7996717400677508E-2</v>
      </c>
      <c r="F87" s="11">
        <f t="shared" si="8"/>
        <v>1.0296717400677511E-2</v>
      </c>
      <c r="G87" s="139">
        <f>VLOOKUP(A87,'10-year CDS Spreads'!$A$2:$D$158,4,FALSE)</f>
        <v>8.6E-3</v>
      </c>
      <c r="H87" s="11">
        <f t="shared" si="10"/>
        <v>6.0895671528581691E-2</v>
      </c>
      <c r="I87" s="14">
        <f t="shared" si="9"/>
        <v>1.3195671528581688E-2</v>
      </c>
    </row>
    <row r="88" spans="1:9" ht="16">
      <c r="A88" s="105" t="str">
        <f>'Sovereign Ratings (Moody''s,S&amp;P)'!A81</f>
        <v>Kyrgyzstan</v>
      </c>
      <c r="B88" s="101" t="str">
        <f>VLOOKUP(A88,'Regional lookup table'!$A$2:$B$162,2,FALSE)</f>
        <v>Eastern Europe &amp; Russia</v>
      </c>
      <c r="C88" s="9" t="str">
        <f>VLOOKUP(A88,'Sovereign Ratings (Moody''s,S&amp;P)'!$A$2:$D$158,4,FALSE)</f>
        <v>B3</v>
      </c>
      <c r="D88" s="21">
        <f t="shared" si="6"/>
        <v>6.1849989354559008E-2</v>
      </c>
      <c r="E88" s="21">
        <f t="shared" si="7"/>
        <v>0.14260141204291102</v>
      </c>
      <c r="F88" s="11">
        <f t="shared" si="8"/>
        <v>9.4901412042911026E-2</v>
      </c>
      <c r="G88" s="139" t="str">
        <f>VLOOKUP(A88,'10-year CDS Spreads'!$A$2:$D$158,4,FALSE)</f>
        <v>NA</v>
      </c>
      <c r="H88" s="11" t="str">
        <f t="shared" si="10"/>
        <v>NA</v>
      </c>
      <c r="I88" s="14" t="str">
        <f t="shared" si="9"/>
        <v>NA</v>
      </c>
    </row>
    <row r="89" spans="1:9" ht="16">
      <c r="A89" s="105" t="str">
        <f>'Sovereign Ratings (Moody''s,S&amp;P)'!A82</f>
        <v>Laos</v>
      </c>
      <c r="B89" s="101" t="str">
        <f>VLOOKUP(A89,'Regional lookup table'!$A$2:$B$162,2,FALSE)</f>
        <v>Asia</v>
      </c>
      <c r="C89" s="9" t="str">
        <f>VLOOKUP(A89,'Sovereign Ratings (Moody''s,S&amp;P)'!$A$2:$D$158,4,FALSE)</f>
        <v>Caa2</v>
      </c>
      <c r="D89" s="21">
        <f t="shared" si="6"/>
        <v>8.5672860480275226E-2</v>
      </c>
      <c r="E89" s="21">
        <f t="shared" si="7"/>
        <v>0.17915475881531617</v>
      </c>
      <c r="F89" s="11">
        <f t="shared" si="8"/>
        <v>0.13145475881531618</v>
      </c>
      <c r="G89" s="139" t="str">
        <f>VLOOKUP(A89,'10-year CDS Spreads'!$A$2:$D$158,4,FALSE)</f>
        <v>NA</v>
      </c>
      <c r="H89" s="11" t="str">
        <f>IF(I89="NA","NA",$E$3+I89)</f>
        <v>NA</v>
      </c>
      <c r="I89" s="14" t="str">
        <f>IF(G89="NA","NA",G89*$E$6)</f>
        <v>NA</v>
      </c>
    </row>
    <row r="90" spans="1:9" ht="16">
      <c r="A90" s="105" t="str">
        <f>'Sovereign Ratings (Moody''s,S&amp;P)'!A83</f>
        <v>Latvia</v>
      </c>
      <c r="B90" s="101" t="str">
        <f>VLOOKUP(A90,'Regional lookup table'!$A$2:$B$162,2,FALSE)</f>
        <v>Eastern Europe &amp; Russia</v>
      </c>
      <c r="C90" s="9" t="str">
        <f>VLOOKUP(A90,'Sovereign Ratings (Moody''s,S&amp;P)'!$A$2:$D$158,4,FALSE)</f>
        <v>A3</v>
      </c>
      <c r="D90" s="21">
        <f t="shared" si="6"/>
        <v>1.1408135468652839E-2</v>
      </c>
      <c r="E90" s="21">
        <f t="shared" si="7"/>
        <v>6.5204419581151765E-2</v>
      </c>
      <c r="F90" s="11">
        <f t="shared" si="8"/>
        <v>1.7504419581151766E-2</v>
      </c>
      <c r="G90" s="139">
        <f>VLOOKUP(A90,'10-year CDS Spreads'!$A$2:$D$158,4,FALSE)</f>
        <v>6.6E-3</v>
      </c>
      <c r="H90" s="11">
        <f t="shared" si="10"/>
        <v>5.7826910707981294E-2</v>
      </c>
      <c r="I90" s="14">
        <f t="shared" si="9"/>
        <v>1.0126910707981296E-2</v>
      </c>
    </row>
    <row r="91" spans="1:9" ht="16">
      <c r="A91" s="105" t="str">
        <f>'Sovereign Ratings (Moody''s,S&amp;P)'!A84</f>
        <v>Lebanon</v>
      </c>
      <c r="B91" s="101" t="str">
        <f>VLOOKUP(A91,'Regional lookup table'!$A$2:$B$162,2,FALSE)</f>
        <v>Middle East</v>
      </c>
      <c r="C91" s="9" t="str">
        <f>VLOOKUP(A91,'Sovereign Ratings (Moody''s,S&amp;P)'!$A$2:$D$158,4,FALSE)</f>
        <v>C</v>
      </c>
      <c r="D91" s="21">
        <f t="shared" si="6"/>
        <v>0.17499999999999999</v>
      </c>
      <c r="E91" s="21">
        <f t="shared" si="7"/>
        <v>0.31621657180253437</v>
      </c>
      <c r="F91" s="11">
        <f t="shared" si="8"/>
        <v>0.26851657180253435</v>
      </c>
      <c r="G91" s="139" t="str">
        <f>VLOOKUP(A91,'10-year CDS Spreads'!$A$2:$D$158,4,FALSE)</f>
        <v>NA</v>
      </c>
      <c r="H91" s="11" t="str">
        <f t="shared" si="10"/>
        <v>NA</v>
      </c>
      <c r="I91" s="14" t="str">
        <f t="shared" si="9"/>
        <v>NA</v>
      </c>
    </row>
    <row r="92" spans="1:9" ht="16">
      <c r="A92" s="105" t="str">
        <f>'Sovereign Ratings (Moody''s,S&amp;P)'!A85</f>
        <v>Liechtenstein</v>
      </c>
      <c r="B92" s="101" t="str">
        <f>VLOOKUP(A92,'Regional lookup table'!$A$2:$B$162,2,FALSE)</f>
        <v>Western Europe</v>
      </c>
      <c r="C92" s="9" t="str">
        <f>VLOOKUP(A92,'Sovereign Ratings (Moody''s,S&amp;P)'!$A$2:$D$158,4,FALSE)</f>
        <v>Aaa</v>
      </c>
      <c r="D92" s="21">
        <f t="shared" si="6"/>
        <v>0</v>
      </c>
      <c r="E92" s="21">
        <f t="shared" si="7"/>
        <v>4.7699999999999999E-2</v>
      </c>
      <c r="F92" s="11">
        <f t="shared" si="8"/>
        <v>0</v>
      </c>
      <c r="G92" s="139" t="str">
        <f>VLOOKUP(A92,'10-year CDS Spreads'!$A$2:$D$158,4,FALSE)</f>
        <v>NA</v>
      </c>
      <c r="H92" s="11" t="str">
        <f t="shared" si="10"/>
        <v>NA</v>
      </c>
      <c r="I92" s="14" t="str">
        <f t="shared" si="9"/>
        <v>NA</v>
      </c>
    </row>
    <row r="93" spans="1:9" ht="16">
      <c r="A93" s="105" t="str">
        <f>'Sovereign Ratings (Moody''s,S&amp;P)'!A86</f>
        <v>Lithuania</v>
      </c>
      <c r="B93" s="101" t="str">
        <f>VLOOKUP(A93,'Regional lookup table'!$A$2:$B$162,2,FALSE)</f>
        <v>Eastern Europe &amp; Russia</v>
      </c>
      <c r="C93" s="9" t="str">
        <f>VLOOKUP(A93,'Sovereign Ratings (Moody''s,S&amp;P)'!$A$2:$D$158,4,FALSE)</f>
        <v>A2</v>
      </c>
      <c r="D93" s="21">
        <f t="shared" si="6"/>
        <v>8.0528015072843552E-3</v>
      </c>
      <c r="E93" s="21">
        <f t="shared" si="7"/>
        <v>6.0056060880813007E-2</v>
      </c>
      <c r="F93" s="11">
        <f t="shared" si="8"/>
        <v>1.2356060880813008E-2</v>
      </c>
      <c r="G93" s="139">
        <f>VLOOKUP(A93,'10-year CDS Spreads'!$A$2:$D$158,4,FALSE)</f>
        <v>6.5000000000000006E-3</v>
      </c>
      <c r="H93" s="11">
        <f t="shared" si="10"/>
        <v>5.7673472666951275E-2</v>
      </c>
      <c r="I93" s="14">
        <f t="shared" si="9"/>
        <v>9.9734726669512778E-3</v>
      </c>
    </row>
    <row r="94" spans="1:9" ht="16">
      <c r="A94" s="105" t="str">
        <f>'Sovereign Ratings (Moody''s,S&amp;P)'!A87</f>
        <v>Luxembourg</v>
      </c>
      <c r="B94" s="101" t="str">
        <f>VLOOKUP(A94,'Regional lookup table'!$A$2:$B$162,2,FALSE)</f>
        <v>Western Europe</v>
      </c>
      <c r="C94" s="9" t="str">
        <f>VLOOKUP(A94,'Sovereign Ratings (Moody''s,S&amp;P)'!$A$2:$D$158,4,FALSE)</f>
        <v>Aaa</v>
      </c>
      <c r="D94" s="21">
        <f t="shared" si="6"/>
        <v>0</v>
      </c>
      <c r="E94" s="21">
        <f t="shared" si="7"/>
        <v>4.7699999999999999E-2</v>
      </c>
      <c r="F94" s="11">
        <f t="shared" si="8"/>
        <v>0</v>
      </c>
      <c r="G94" s="139" t="str">
        <f>VLOOKUP(A94,'10-year CDS Spreads'!$A$2:$D$158,4,FALSE)</f>
        <v>NA</v>
      </c>
      <c r="H94" s="11" t="str">
        <f t="shared" si="10"/>
        <v>NA</v>
      </c>
      <c r="I94" s="14" t="str">
        <f t="shared" si="9"/>
        <v>NA</v>
      </c>
    </row>
    <row r="95" spans="1:9" ht="16">
      <c r="A95" s="105" t="str">
        <f>'Sovereign Ratings (Moody''s,S&amp;P)'!A88</f>
        <v>Macao</v>
      </c>
      <c r="B95" s="101" t="str">
        <f>VLOOKUP(A95,'Regional lookup table'!$A$2:$B$162,2,FALSE)</f>
        <v>Asia</v>
      </c>
      <c r="C95" s="9" t="str">
        <f>VLOOKUP(A95,'Sovereign Ratings (Moody''s,S&amp;P)'!$A$2:$D$158,4,FALSE)</f>
        <v>Aa3</v>
      </c>
      <c r="D95" s="21">
        <f t="shared" si="6"/>
        <v>5.7040677343264193E-3</v>
      </c>
      <c r="E95" s="21">
        <f t="shared" si="7"/>
        <v>5.6452209790575886E-2</v>
      </c>
      <c r="F95" s="11">
        <f t="shared" si="8"/>
        <v>8.7522097905758829E-3</v>
      </c>
      <c r="G95" s="139" t="str">
        <f>VLOOKUP(A95,'10-year CDS Spreads'!$A$2:$D$158,4,FALSE)</f>
        <v>NA</v>
      </c>
      <c r="H95" s="11" t="str">
        <f t="shared" si="10"/>
        <v>NA</v>
      </c>
      <c r="I95" s="14" t="str">
        <f t="shared" si="9"/>
        <v>NA</v>
      </c>
    </row>
    <row r="96" spans="1:9" ht="16">
      <c r="A96" s="105" t="str">
        <f>'Sovereign Ratings (Moody''s,S&amp;P)'!A89</f>
        <v>Macedonia</v>
      </c>
      <c r="B96" s="101" t="str">
        <f>VLOOKUP(A96,'Regional lookup table'!$A$2:$B$162,2,FALSE)</f>
        <v>Eastern Europe &amp; Russia</v>
      </c>
      <c r="C96" s="9" t="str">
        <f>VLOOKUP(A96,'Sovereign Ratings (Moody''s,S&amp;P)'!$A$2:$D$158,4,FALSE)</f>
        <v>Ba3</v>
      </c>
      <c r="D96" s="21">
        <f t="shared" si="6"/>
        <v>3.4224406405958516E-2</v>
      </c>
      <c r="E96" s="21">
        <f t="shared" si="7"/>
        <v>0.1002132587434553</v>
      </c>
      <c r="F96" s="11">
        <f t="shared" si="8"/>
        <v>5.2513258743455297E-2</v>
      </c>
      <c r="G96" s="139" t="str">
        <f>VLOOKUP(A96,'10-year CDS Spreads'!$A$2:$D$158,4,FALSE)</f>
        <v>NA</v>
      </c>
      <c r="H96" s="11" t="str">
        <f t="shared" si="10"/>
        <v>NA</v>
      </c>
      <c r="I96" s="14" t="str">
        <f t="shared" si="9"/>
        <v>NA</v>
      </c>
    </row>
    <row r="97" spans="1:9" ht="16">
      <c r="A97" s="105" t="str">
        <f>'Sovereign Ratings (Moody''s,S&amp;P)'!A90</f>
        <v>Malaysia</v>
      </c>
      <c r="B97" s="101" t="str">
        <f>VLOOKUP(A97,'Regional lookup table'!$A$2:$B$162,2,FALSE)</f>
        <v>Asia</v>
      </c>
      <c r="C97" s="9" t="str">
        <f>VLOOKUP(A97,'Sovereign Ratings (Moody''s,S&amp;P)'!$A$2:$D$158,4,FALSE)</f>
        <v>A3</v>
      </c>
      <c r="D97" s="21">
        <f t="shared" si="6"/>
        <v>1.1408135468652839E-2</v>
      </c>
      <c r="E97" s="21">
        <f t="shared" si="7"/>
        <v>6.5204419581151765E-2</v>
      </c>
      <c r="F97" s="11">
        <f t="shared" si="8"/>
        <v>1.7504419581151766E-2</v>
      </c>
      <c r="G97" s="139">
        <f>VLOOKUP(A97,'10-year CDS Spreads'!$A$2:$D$158,4,FALSE)</f>
        <v>6.0999999999999995E-3</v>
      </c>
      <c r="H97" s="11">
        <f>IF(I97="NA","NA",$E$3+I97)</f>
        <v>5.7059720502831195E-2</v>
      </c>
      <c r="I97" s="14">
        <f>IF(G97="NA","NA",G97*$E$6)</f>
        <v>9.359720502831197E-3</v>
      </c>
    </row>
    <row r="98" spans="1:9" ht="16">
      <c r="A98" s="105" t="str">
        <f>'Sovereign Ratings (Moody''s,S&amp;P)'!A91</f>
        <v>Maldives</v>
      </c>
      <c r="B98" s="101" t="str">
        <f>VLOOKUP(A98,'Regional lookup table'!$A$2:$B$162,2,FALSE)</f>
        <v>Asia</v>
      </c>
      <c r="C98" s="9" t="str">
        <f>VLOOKUP(A98,'Sovereign Ratings (Moody''s,S&amp;P)'!$A$2:$D$158,4,FALSE)</f>
        <v>Caa2</v>
      </c>
      <c r="D98" s="21">
        <f t="shared" si="6"/>
        <v>8.5672860480275226E-2</v>
      </c>
      <c r="E98" s="21">
        <f t="shared" si="7"/>
        <v>0.17915475881531617</v>
      </c>
      <c r="F98" s="11">
        <f t="shared" si="8"/>
        <v>0.13145475881531618</v>
      </c>
      <c r="G98" s="139" t="str">
        <f>VLOOKUP(A98,'10-year CDS Spreads'!$A$2:$D$158,4,FALSE)</f>
        <v>NA</v>
      </c>
      <c r="H98" s="11" t="str">
        <f t="shared" si="10"/>
        <v>NA</v>
      </c>
      <c r="I98" s="14" t="str">
        <f t="shared" si="9"/>
        <v>NA</v>
      </c>
    </row>
    <row r="99" spans="1:9" ht="16">
      <c r="A99" s="105" t="str">
        <f>'Sovereign Ratings (Moody''s,S&amp;P)'!A92</f>
        <v>Mali</v>
      </c>
      <c r="B99" s="101" t="str">
        <f>VLOOKUP(A99,'Regional lookup table'!$A$2:$B$162,2,FALSE)</f>
        <v>Africa</v>
      </c>
      <c r="C99" s="9" t="str">
        <f>VLOOKUP(A99,'Sovereign Ratings (Moody''s,S&amp;P)'!$A$2:$D$158,4,FALSE)</f>
        <v>Caa2</v>
      </c>
      <c r="D99" s="21">
        <f t="shared" si="6"/>
        <v>8.5672860480275226E-2</v>
      </c>
      <c r="E99" s="21">
        <f t="shared" si="7"/>
        <v>0.17915475881531617</v>
      </c>
      <c r="F99" s="11">
        <f t="shared" si="8"/>
        <v>0.13145475881531618</v>
      </c>
      <c r="G99" s="139" t="str">
        <f>VLOOKUP(A99,'10-year CDS Spreads'!$A$2:$D$158,4,FALSE)</f>
        <v>NA</v>
      </c>
      <c r="H99" s="11" t="str">
        <f t="shared" si="10"/>
        <v>NA</v>
      </c>
      <c r="I99" s="14" t="str">
        <f t="shared" si="9"/>
        <v>NA</v>
      </c>
    </row>
    <row r="100" spans="1:9" ht="16">
      <c r="A100" s="105" t="str">
        <f>'Sovereign Ratings (Moody''s,S&amp;P)'!A93</f>
        <v>Malta</v>
      </c>
      <c r="B100" s="101" t="str">
        <f>VLOOKUP(A100,'Regional lookup table'!$A$2:$B$162,2,FALSE)</f>
        <v>Western Europe</v>
      </c>
      <c r="C100" s="9" t="str">
        <f>VLOOKUP(A100,'Sovereign Ratings (Moody''s,S&amp;P)'!$A$2:$D$158,4,FALSE)</f>
        <v>A2</v>
      </c>
      <c r="D100" s="21">
        <f t="shared" si="6"/>
        <v>8.0528015072843552E-3</v>
      </c>
      <c r="E100" s="21">
        <f t="shared" si="7"/>
        <v>6.0056060880813007E-2</v>
      </c>
      <c r="F100" s="11">
        <f t="shared" si="8"/>
        <v>1.2356060880813008E-2</v>
      </c>
      <c r="G100" s="139" t="str">
        <f>VLOOKUP(A100,'10-year CDS Spreads'!$A$2:$D$158,4,FALSE)</f>
        <v>NA</v>
      </c>
      <c r="H100" s="11" t="str">
        <f t="shared" si="10"/>
        <v>NA</v>
      </c>
      <c r="I100" s="14" t="str">
        <f t="shared" si="9"/>
        <v>NA</v>
      </c>
    </row>
    <row r="101" spans="1:9" ht="16">
      <c r="A101" s="105" t="str">
        <f>'Sovereign Ratings (Moody''s,S&amp;P)'!A94</f>
        <v>Mauritius</v>
      </c>
      <c r="B101" s="101" t="str">
        <f>VLOOKUP(A101,'Regional lookup table'!$A$2:$B$162,2,FALSE)</f>
        <v>Africa</v>
      </c>
      <c r="C101" s="9" t="str">
        <f>VLOOKUP(A101,'Sovereign Ratings (Moody''s,S&amp;P)'!$A$2:$D$158,4,FALSE)</f>
        <v>Baa3</v>
      </c>
      <c r="D101" s="21">
        <f t="shared" si="6"/>
        <v>2.091491502586354E-2</v>
      </c>
      <c r="E101" s="21">
        <f t="shared" si="7"/>
        <v>7.979143589877824E-2</v>
      </c>
      <c r="F101" s="11">
        <f t="shared" si="8"/>
        <v>3.2091435898778241E-2</v>
      </c>
      <c r="G101" s="139" t="str">
        <f>VLOOKUP(A101,'10-year CDS Spreads'!$A$2:$D$158,4,FALSE)</f>
        <v>NA</v>
      </c>
      <c r="H101" s="11" t="str">
        <f t="shared" si="10"/>
        <v>NA</v>
      </c>
      <c r="I101" s="14" t="str">
        <f t="shared" si="9"/>
        <v>NA</v>
      </c>
    </row>
    <row r="102" spans="1:9" ht="16">
      <c r="A102" s="105" t="str">
        <f>'Sovereign Ratings (Moody''s,S&amp;P)'!A95</f>
        <v>Mexico</v>
      </c>
      <c r="B102" s="101" t="str">
        <f>VLOOKUP(A102,'Regional lookup table'!$A$2:$B$162,2,FALSE)</f>
        <v>Central and South America</v>
      </c>
      <c r="C102" s="9" t="str">
        <f>VLOOKUP(A102,'Sovereign Ratings (Moody''s,S&amp;P)'!$A$2:$D$158,4,FALSE)</f>
        <v>Baa2</v>
      </c>
      <c r="D102" s="21">
        <f t="shared" si="6"/>
        <v>1.8118803391389805E-2</v>
      </c>
      <c r="E102" s="21">
        <f t="shared" si="7"/>
        <v>7.5501136981829281E-2</v>
      </c>
      <c r="F102" s="11">
        <f t="shared" si="8"/>
        <v>2.7801136981829278E-2</v>
      </c>
      <c r="G102" s="139">
        <f>VLOOKUP(A102,'10-year CDS Spreads'!$A$2:$D$158,4,FALSE)</f>
        <v>1.6899999999999998E-2</v>
      </c>
      <c r="H102" s="11">
        <f t="shared" si="10"/>
        <v>7.363102893407332E-2</v>
      </c>
      <c r="I102" s="14">
        <f t="shared" si="9"/>
        <v>2.5931028934073317E-2</v>
      </c>
    </row>
    <row r="103" spans="1:9" ht="16">
      <c r="A103" s="105" t="str">
        <f>'Sovereign Ratings (Moody''s,S&amp;P)'!A96</f>
        <v>Moldova</v>
      </c>
      <c r="B103" s="101" t="str">
        <f>VLOOKUP(A103,'Regional lookup table'!$A$2:$B$162,2,FALSE)</f>
        <v>Eastern Europe &amp; Russia</v>
      </c>
      <c r="C103" s="9" t="str">
        <f>VLOOKUP(A103,'Sovereign Ratings (Moody''s,S&amp;P)'!$A$2:$D$158,4,FALSE)</f>
        <v>B3</v>
      </c>
      <c r="D103" s="21">
        <f t="shared" si="6"/>
        <v>6.1849989354559008E-2</v>
      </c>
      <c r="E103" s="21">
        <f t="shared" si="7"/>
        <v>0.14260141204291102</v>
      </c>
      <c r="F103" s="11">
        <f t="shared" si="8"/>
        <v>9.4901412042911026E-2</v>
      </c>
      <c r="G103" s="139" t="str">
        <f>VLOOKUP(A103,'10-year CDS Spreads'!$A$2:$D$158,4,FALSE)</f>
        <v>NA</v>
      </c>
      <c r="H103" s="11" t="str">
        <f t="shared" si="10"/>
        <v>NA</v>
      </c>
      <c r="I103" s="14" t="str">
        <f t="shared" si="9"/>
        <v>NA</v>
      </c>
    </row>
    <row r="104" spans="1:9" ht="16">
      <c r="A104" s="105" t="str">
        <f>'Sovereign Ratings (Moody''s,S&amp;P)'!A97</f>
        <v>Mongolia</v>
      </c>
      <c r="B104" s="101" t="str">
        <f>VLOOKUP(A104,'Regional lookup table'!$A$2:$B$162,2,FALSE)</f>
        <v>Asia</v>
      </c>
      <c r="C104" s="9" t="str">
        <f>VLOOKUP(A104,'Sovereign Ratings (Moody''s,S&amp;P)'!$A$2:$D$158,4,FALSE)</f>
        <v>B1</v>
      </c>
      <c r="D104" s="21">
        <f t="shared" si="6"/>
        <v>4.2836430240137613E-2</v>
      </c>
      <c r="E104" s="21">
        <f t="shared" si="7"/>
        <v>0.1134273794076581</v>
      </c>
      <c r="F104" s="11">
        <f t="shared" si="8"/>
        <v>6.572737940765809E-2</v>
      </c>
      <c r="G104" s="139" t="str">
        <f>VLOOKUP(A104,'10-year CDS Spreads'!$A$2:$D$158,4,FALSE)</f>
        <v>NA</v>
      </c>
      <c r="H104" s="11" t="str">
        <f t="shared" si="10"/>
        <v>NA</v>
      </c>
      <c r="I104" s="14" t="str">
        <f t="shared" si="9"/>
        <v>NA</v>
      </c>
    </row>
    <row r="105" spans="1:9" ht="16">
      <c r="A105" s="105" t="str">
        <f>'Sovereign Ratings (Moody''s,S&amp;P)'!A98</f>
        <v>Montenegro</v>
      </c>
      <c r="B105" s="101" t="str">
        <f>VLOOKUP(A105,'Regional lookup table'!$A$2:$B$162,2,FALSE)</f>
        <v>Eastern Europe &amp; Russia</v>
      </c>
      <c r="C105" s="9" t="str">
        <f>VLOOKUP(A105,'Sovereign Ratings (Moody''s,S&amp;P)'!$A$2:$D$158,4,FALSE)</f>
        <v>B1</v>
      </c>
      <c r="D105" s="21">
        <f t="shared" si="6"/>
        <v>4.2836430240137613E-2</v>
      </c>
      <c r="E105" s="21">
        <f t="shared" si="7"/>
        <v>0.1134273794076581</v>
      </c>
      <c r="F105" s="11">
        <f t="shared" si="8"/>
        <v>6.572737940765809E-2</v>
      </c>
      <c r="G105" s="139" t="str">
        <f>VLOOKUP(A105,'10-year CDS Spreads'!$A$2:$D$158,4,FALSE)</f>
        <v>NA</v>
      </c>
      <c r="H105" s="11" t="str">
        <f t="shared" si="10"/>
        <v>NA</v>
      </c>
      <c r="I105" s="14" t="str">
        <f t="shared" si="9"/>
        <v>NA</v>
      </c>
    </row>
    <row r="106" spans="1:9" ht="16">
      <c r="A106" s="105" t="str">
        <f>'Sovereign Ratings (Moody''s,S&amp;P)'!A99</f>
        <v>Montserrat</v>
      </c>
      <c r="B106" s="101" t="str">
        <f>VLOOKUP(A106,'Regional lookup table'!$A$2:$B$162,2,FALSE)</f>
        <v>Caribbean</v>
      </c>
      <c r="C106" s="9" t="str">
        <f>VLOOKUP(A106,'Sovereign Ratings (Moody''s,S&amp;P)'!$A$2:$D$158,4,FALSE)</f>
        <v>Baa3</v>
      </c>
      <c r="D106" s="21">
        <f t="shared" si="6"/>
        <v>2.091491502586354E-2</v>
      </c>
      <c r="E106" s="21">
        <f t="shared" si="7"/>
        <v>7.979143589877824E-2</v>
      </c>
      <c r="F106" s="11">
        <f t="shared" si="8"/>
        <v>3.2091435898778241E-2</v>
      </c>
      <c r="G106" s="139" t="str">
        <f>VLOOKUP(A106,'10-year CDS Spreads'!$A$2:$D$158,4,FALSE)</f>
        <v>NA</v>
      </c>
      <c r="H106" s="11" t="str">
        <f t="shared" si="10"/>
        <v>NA</v>
      </c>
      <c r="I106" s="14" t="str">
        <f t="shared" si="9"/>
        <v>NA</v>
      </c>
    </row>
    <row r="107" spans="1:9" ht="16">
      <c r="A107" s="105" t="str">
        <f>'Sovereign Ratings (Moody''s,S&amp;P)'!A100</f>
        <v>Morocco</v>
      </c>
      <c r="B107" s="101" t="str">
        <f>VLOOKUP(A107,'Regional lookup table'!$A$2:$B$162,2,FALSE)</f>
        <v>Africa</v>
      </c>
      <c r="C107" s="9" t="str">
        <f>VLOOKUP(A107,'Sovereign Ratings (Moody''s,S&amp;P)'!$A$2:$D$158,4,FALSE)</f>
        <v>Ba1</v>
      </c>
      <c r="D107" s="21">
        <f t="shared" si="6"/>
        <v>2.3822871125716225E-2</v>
      </c>
      <c r="E107" s="21">
        <f t="shared" si="7"/>
        <v>8.425334677240516E-2</v>
      </c>
      <c r="F107" s="11">
        <f t="shared" si="8"/>
        <v>3.6553346772405161E-2</v>
      </c>
      <c r="G107" s="139">
        <f>VLOOKUP(A107,'10-year CDS Spreads'!$A$2:$D$158,4,FALSE)</f>
        <v>1.43E-2</v>
      </c>
      <c r="H107" s="11">
        <f t="shared" si="10"/>
        <v>6.9641639867292812E-2</v>
      </c>
      <c r="I107" s="14">
        <f t="shared" si="9"/>
        <v>2.1941639867292809E-2</v>
      </c>
    </row>
    <row r="108" spans="1:9" ht="16">
      <c r="A108" s="105" t="str">
        <f>'Sovereign Ratings (Moody''s,S&amp;P)'!A101</f>
        <v>Mozambique</v>
      </c>
      <c r="B108" s="101" t="str">
        <f>VLOOKUP(A108,'Regional lookup table'!$A$2:$B$162,2,FALSE)</f>
        <v>Africa</v>
      </c>
      <c r="C108" s="9" t="str">
        <f>VLOOKUP(A108,'Sovereign Ratings (Moody''s,S&amp;P)'!$A$2:$D$158,4,FALSE)</f>
        <v>Caa3</v>
      </c>
      <c r="D108" s="21">
        <f t="shared" si="6"/>
        <v>9.5179640037485941E-2</v>
      </c>
      <c r="E108" s="21">
        <f t="shared" si="7"/>
        <v>0.19374177513294266</v>
      </c>
      <c r="F108" s="11">
        <f t="shared" si="8"/>
        <v>0.14604177513294267</v>
      </c>
      <c r="G108" s="139" t="str">
        <f>VLOOKUP(A108,'10-year CDS Spreads'!$A$2:$D$158,4,FALSE)</f>
        <v>NA</v>
      </c>
      <c r="H108" s="11" t="str">
        <f t="shared" si="10"/>
        <v>NA</v>
      </c>
      <c r="I108" s="14" t="str">
        <f t="shared" si="9"/>
        <v>NA</v>
      </c>
    </row>
    <row r="109" spans="1:9" ht="16">
      <c r="A109" s="105" t="str">
        <f>'Sovereign Ratings (Moody''s,S&amp;P)'!A102</f>
        <v>Namibia</v>
      </c>
      <c r="B109" s="101" t="str">
        <f>VLOOKUP(A109,'Regional lookup table'!$A$2:$B$162,2,FALSE)</f>
        <v>Africa</v>
      </c>
      <c r="C109" s="9" t="str">
        <f>VLOOKUP(A109,'Sovereign Ratings (Moody''s,S&amp;P)'!$A$2:$D$158,4,FALSE)</f>
        <v>B1</v>
      </c>
      <c r="D109" s="21">
        <f t="shared" si="6"/>
        <v>4.2836430240137613E-2</v>
      </c>
      <c r="E109" s="21">
        <f t="shared" si="7"/>
        <v>0.1134273794076581</v>
      </c>
      <c r="F109" s="11">
        <f t="shared" si="8"/>
        <v>6.572737940765809E-2</v>
      </c>
      <c r="G109" s="139" t="str">
        <f>VLOOKUP(A109,'10-year CDS Spreads'!$A$2:$D$158,4,FALSE)</f>
        <v>NA</v>
      </c>
      <c r="H109" s="11" t="str">
        <f t="shared" si="10"/>
        <v>NA</v>
      </c>
      <c r="I109" s="14" t="str">
        <f t="shared" si="9"/>
        <v>NA</v>
      </c>
    </row>
    <row r="110" spans="1:9" ht="16">
      <c r="A110" s="105" t="str">
        <f>'Sovereign Ratings (Moody''s,S&amp;P)'!A103</f>
        <v>Nepal</v>
      </c>
      <c r="B110" s="101" t="str">
        <f>VLOOKUP(A110,'Regional lookup table'!$A$2:$B$162,2,FALSE)</f>
        <v>Asia</v>
      </c>
      <c r="C110" s="9" t="str">
        <f>VLOOKUP(A110,'Sovereign Ratings (Moody''s,S&amp;P)'!$A$2:$D$158,4,FALSE)</f>
        <v>Ba3</v>
      </c>
      <c r="D110" s="21">
        <f t="shared" ref="D110" si="11">VLOOKUP(C110,$J$10:$K$32,2,FALSE)/10000</f>
        <v>3.4224406405958516E-2</v>
      </c>
      <c r="E110" s="21">
        <f t="shared" ref="E110" si="12">$E$3+F110</f>
        <v>0.1002132587434553</v>
      </c>
      <c r="F110" s="11">
        <f t="shared" ref="F110" si="13">IF($E$5="Yes",D110*$E$6,D110)</f>
        <v>5.2513258743455297E-2</v>
      </c>
      <c r="G110" s="139" t="str">
        <f>VLOOKUP(A110,'10-year CDS Spreads'!$A$2:$D$158,4,FALSE)</f>
        <v>NA</v>
      </c>
      <c r="H110" s="11" t="str">
        <f t="shared" ref="H110" si="14">IF(I110="NA","NA",$E$3+I110)</f>
        <v>NA</v>
      </c>
      <c r="I110" s="14" t="str">
        <f t="shared" ref="I110" si="15">IF(G110="NA","NA",G110*$E$6)</f>
        <v>NA</v>
      </c>
    </row>
    <row r="111" spans="1:9" ht="16">
      <c r="A111" s="105" t="str">
        <f>'Sovereign Ratings (Moody''s,S&amp;P)'!A104</f>
        <v>Netherlands</v>
      </c>
      <c r="B111" s="101" t="str">
        <f>VLOOKUP(A111,'Regional lookup table'!$A$2:$B$162,2,FALSE)</f>
        <v>Western Europe</v>
      </c>
      <c r="C111" s="9" t="str">
        <f>VLOOKUP(A111,'Sovereign Ratings (Moody''s,S&amp;P)'!$A$2:$D$158,4,FALSE)</f>
        <v>Aaa</v>
      </c>
      <c r="D111" s="21">
        <f t="shared" si="6"/>
        <v>0</v>
      </c>
      <c r="E111" s="21">
        <f t="shared" si="7"/>
        <v>4.7699999999999999E-2</v>
      </c>
      <c r="F111" s="11">
        <f t="shared" si="8"/>
        <v>0</v>
      </c>
      <c r="G111" s="139">
        <f>VLOOKUP(A111,'10-year CDS Spreads'!$A$2:$D$158,4,FALSE)</f>
        <v>3.9999999999999996E-4</v>
      </c>
      <c r="H111" s="11">
        <f t="shared" si="10"/>
        <v>4.831375216412008E-2</v>
      </c>
      <c r="I111" s="14">
        <f t="shared" si="9"/>
        <v>6.1375216412007849E-4</v>
      </c>
    </row>
    <row r="112" spans="1:9" ht="16">
      <c r="A112" s="105" t="str">
        <f>'Sovereign Ratings (Moody''s,S&amp;P)'!A105</f>
        <v>New Zealand</v>
      </c>
      <c r="B112" s="101" t="str">
        <f>VLOOKUP(A112,'Regional lookup table'!$A$2:$B$162,2,FALSE)</f>
        <v>Australia &amp; New Zealand</v>
      </c>
      <c r="C112" s="9" t="str">
        <f>VLOOKUP(A112,'Sovereign Ratings (Moody''s,S&amp;P)'!$A$2:$D$158,4,FALSE)</f>
        <v>Aaa</v>
      </c>
      <c r="D112" s="21">
        <f t="shared" si="6"/>
        <v>0</v>
      </c>
      <c r="E112" s="21">
        <f t="shared" si="7"/>
        <v>4.7699999999999999E-2</v>
      </c>
      <c r="F112" s="11">
        <f t="shared" si="8"/>
        <v>0</v>
      </c>
      <c r="G112" s="139">
        <f>VLOOKUP(A112,'10-year CDS Spreads'!$A$2:$D$158,4,FALSE)</f>
        <v>1.0000000000000002E-3</v>
      </c>
      <c r="H112" s="11">
        <f t="shared" si="10"/>
        <v>4.9234380410300198E-2</v>
      </c>
      <c r="I112" s="14">
        <f t="shared" si="9"/>
        <v>1.5343804103001967E-3</v>
      </c>
    </row>
    <row r="113" spans="1:9" ht="16">
      <c r="A113" s="105" t="str">
        <f>'Sovereign Ratings (Moody''s,S&amp;P)'!A106</f>
        <v>Nicaragua</v>
      </c>
      <c r="B113" s="101" t="str">
        <f>VLOOKUP(A113,'Regional lookup table'!$A$2:$B$162,2,FALSE)</f>
        <v>Central and South America</v>
      </c>
      <c r="C113" s="9" t="str">
        <f>VLOOKUP(A113,'Sovereign Ratings (Moody''s,S&amp;P)'!$A$2:$D$158,4,FALSE)</f>
        <v>B2</v>
      </c>
      <c r="D113" s="21">
        <f t="shared" si="6"/>
        <v>5.2343209797348314E-2</v>
      </c>
      <c r="E113" s="21">
        <f t="shared" si="7"/>
        <v>0.12801439572528456</v>
      </c>
      <c r="F113" s="11">
        <f t="shared" si="8"/>
        <v>8.0314395725284565E-2</v>
      </c>
      <c r="G113" s="139">
        <f>VLOOKUP(A113,'10-year CDS Spreads'!$A$2:$D$158,4,FALSE)</f>
        <v>6.3600000000000004E-2</v>
      </c>
      <c r="H113" s="11">
        <f t="shared" si="10"/>
        <v>0.14528659409509248</v>
      </c>
      <c r="I113" s="14">
        <f t="shared" si="9"/>
        <v>9.7586594095092488E-2</v>
      </c>
    </row>
    <row r="114" spans="1:9" ht="16">
      <c r="A114" s="105" t="str">
        <f>'Sovereign Ratings (Moody''s,S&amp;P)'!A107</f>
        <v>Niger</v>
      </c>
      <c r="B114" s="101" t="str">
        <f>VLOOKUP(A114,'Regional lookup table'!$A$2:$B$162,2,FALSE)</f>
        <v>Africa</v>
      </c>
      <c r="C114" s="9" t="str">
        <f>VLOOKUP(A114,'Sovereign Ratings (Moody''s,S&amp;P)'!$A$2:$D$158,4,FALSE)</f>
        <v>Caa3</v>
      </c>
      <c r="D114" s="21">
        <f t="shared" si="6"/>
        <v>9.5179640037485941E-2</v>
      </c>
      <c r="E114" s="21">
        <f t="shared" si="7"/>
        <v>0.19374177513294266</v>
      </c>
      <c r="F114" s="11">
        <f t="shared" si="8"/>
        <v>0.14604177513294267</v>
      </c>
      <c r="G114" s="139" t="str">
        <f>VLOOKUP(A114,'10-year CDS Spreads'!$A$2:$D$158,4,FALSE)</f>
        <v>NA</v>
      </c>
      <c r="H114" s="11" t="str">
        <f>IF(I114="NA","NA",$E$3+I114)</f>
        <v>NA</v>
      </c>
      <c r="I114" s="14" t="str">
        <f>IF(G114="NA","NA",G114*$E$6)</f>
        <v>NA</v>
      </c>
    </row>
    <row r="115" spans="1:9" ht="16">
      <c r="A115" s="105" t="str">
        <f>'Sovereign Ratings (Moody''s,S&amp;P)'!A108</f>
        <v>Nigeria</v>
      </c>
      <c r="B115" s="101" t="str">
        <f>VLOOKUP(A115,'Regional lookup table'!$A$2:$B$162,2,FALSE)</f>
        <v>Africa</v>
      </c>
      <c r="C115" s="9" t="str">
        <f>VLOOKUP(A115,'Sovereign Ratings (Moody''s,S&amp;P)'!$A$2:$D$158,4,FALSE)</f>
        <v>B3</v>
      </c>
      <c r="D115" s="21">
        <f t="shared" si="6"/>
        <v>6.1849989354559008E-2</v>
      </c>
      <c r="E115" s="21">
        <f t="shared" si="7"/>
        <v>0.14260141204291102</v>
      </c>
      <c r="F115" s="11">
        <f t="shared" si="8"/>
        <v>9.4901412042911026E-2</v>
      </c>
      <c r="G115" s="139">
        <f>VLOOKUP(A115,'10-year CDS Spreads'!$A$2:$D$158,4,FALSE)</f>
        <v>4.5199999999999997E-2</v>
      </c>
      <c r="H115" s="11">
        <f t="shared" si="10"/>
        <v>0.11705399454556886</v>
      </c>
      <c r="I115" s="14">
        <f t="shared" si="9"/>
        <v>6.935399454556887E-2</v>
      </c>
    </row>
    <row r="116" spans="1:9" ht="16">
      <c r="A116" s="105" t="str">
        <f>'Sovereign Ratings (Moody''s,S&amp;P)'!A109</f>
        <v>Norway</v>
      </c>
      <c r="B116" s="101" t="str">
        <f>VLOOKUP(A116,'Regional lookup table'!$A$2:$B$162,2,FALSE)</f>
        <v>Western Europe</v>
      </c>
      <c r="C116" s="9" t="str">
        <f>VLOOKUP(A116,'Sovereign Ratings (Moody''s,S&amp;P)'!$A$2:$D$158,4,FALSE)</f>
        <v>Aaa</v>
      </c>
      <c r="D116" s="21">
        <f t="shared" si="6"/>
        <v>0</v>
      </c>
      <c r="E116" s="21">
        <f t="shared" si="7"/>
        <v>4.7699999999999999E-2</v>
      </c>
      <c r="F116" s="11">
        <f t="shared" si="8"/>
        <v>0</v>
      </c>
      <c r="G116" s="139">
        <f>VLOOKUP(A116,'10-year CDS Spreads'!$A$2:$D$158,4,FALSE)</f>
        <v>1.0000000000000005E-4</v>
      </c>
      <c r="H116" s="11">
        <f t="shared" si="10"/>
        <v>4.7853438041030018E-2</v>
      </c>
      <c r="I116" s="14">
        <f t="shared" si="9"/>
        <v>1.534380410300197E-4</v>
      </c>
    </row>
    <row r="117" spans="1:9" ht="16">
      <c r="A117" s="105" t="str">
        <f>'Sovereign Ratings (Moody''s,S&amp;P)'!A110</f>
        <v>Oman</v>
      </c>
      <c r="B117" s="101" t="str">
        <f>VLOOKUP(A117,'Regional lookup table'!$A$2:$B$162,2,FALSE)</f>
        <v>Middle East</v>
      </c>
      <c r="C117" s="9" t="str">
        <f>VLOOKUP(A117,'Sovereign Ratings (Moody''s,S&amp;P)'!$A$2:$D$158,4,FALSE)</f>
        <v>Baa3</v>
      </c>
      <c r="D117" s="21">
        <f t="shared" si="6"/>
        <v>2.091491502586354E-2</v>
      </c>
      <c r="E117" s="21">
        <f t="shared" si="7"/>
        <v>7.979143589877824E-2</v>
      </c>
      <c r="F117" s="11">
        <f t="shared" si="8"/>
        <v>3.2091435898778241E-2</v>
      </c>
      <c r="G117" s="139">
        <f>VLOOKUP(A117,'10-year CDS Spreads'!$A$2:$D$158,4,FALSE)</f>
        <v>1.3999999999999999E-2</v>
      </c>
      <c r="H117" s="11">
        <f t="shared" si="10"/>
        <v>6.9181325744202743E-2</v>
      </c>
      <c r="I117" s="14">
        <f t="shared" si="9"/>
        <v>2.1481325744202747E-2</v>
      </c>
    </row>
    <row r="118" spans="1:9" ht="16">
      <c r="A118" s="105" t="str">
        <f>'Sovereign Ratings (Moody''s,S&amp;P)'!A111</f>
        <v>Pakistan</v>
      </c>
      <c r="B118" s="101" t="str">
        <f>VLOOKUP(A118,'Regional lookup table'!$A$2:$B$162,2,FALSE)</f>
        <v>Asia</v>
      </c>
      <c r="C118" s="9" t="str">
        <f>VLOOKUP(A118,'Sovereign Ratings (Moody''s,S&amp;P)'!$A$2:$D$158,4,FALSE)</f>
        <v>Caa1</v>
      </c>
      <c r="D118" s="21">
        <f t="shared" si="6"/>
        <v>7.1356768911769716E-2</v>
      </c>
      <c r="E118" s="21">
        <f t="shared" si="7"/>
        <v>0.15718842836053751</v>
      </c>
      <c r="F118" s="11">
        <f t="shared" si="8"/>
        <v>0.10948842836053752</v>
      </c>
      <c r="G118" s="139">
        <f>VLOOKUP(A118,'10-year CDS Spreads'!$A$2:$D$158,4,FALSE)</f>
        <v>6.6900000000000001E-2</v>
      </c>
      <c r="H118" s="11">
        <f t="shared" si="10"/>
        <v>0.15035004944908315</v>
      </c>
      <c r="I118" s="14">
        <f t="shared" si="9"/>
        <v>0.10265004944908314</v>
      </c>
    </row>
    <row r="119" spans="1:9" ht="16">
      <c r="A119" s="105" t="str">
        <f>'Sovereign Ratings (Moody''s,S&amp;P)'!A112</f>
        <v>Panama</v>
      </c>
      <c r="B119" s="101" t="str">
        <f>VLOOKUP(A119,'Regional lookup table'!$A$2:$B$162,2,FALSE)</f>
        <v>Central and South America</v>
      </c>
      <c r="C119" s="9" t="str">
        <f>VLOOKUP(A119,'Sovereign Ratings (Moody''s,S&amp;P)'!$A$2:$D$158,4,FALSE)</f>
        <v>Baa3</v>
      </c>
      <c r="D119" s="21">
        <f t="shared" si="6"/>
        <v>2.091491502586354E-2</v>
      </c>
      <c r="E119" s="21">
        <f t="shared" si="7"/>
        <v>7.979143589877824E-2</v>
      </c>
      <c r="F119" s="11">
        <f t="shared" si="8"/>
        <v>3.2091435898778241E-2</v>
      </c>
      <c r="G119" s="139">
        <f>VLOOKUP(A119,'10-year CDS Spreads'!$A$2:$D$158,4,FALSE)</f>
        <v>2.0299999999999999E-2</v>
      </c>
      <c r="H119" s="11">
        <f t="shared" si="10"/>
        <v>7.8847922329093989E-2</v>
      </c>
      <c r="I119" s="14">
        <f t="shared" si="9"/>
        <v>3.1147922329093983E-2</v>
      </c>
    </row>
    <row r="120" spans="1:9" ht="16">
      <c r="A120" s="105" t="str">
        <f>'Sovereign Ratings (Moody''s,S&amp;P)'!A113</f>
        <v>Papua New Guinea</v>
      </c>
      <c r="B120" s="101" t="str">
        <f>VLOOKUP(A120,'Regional lookup table'!$A$2:$B$162,2,FALSE)</f>
        <v>Asia</v>
      </c>
      <c r="C120" s="9" t="str">
        <f>VLOOKUP(A120,'Sovereign Ratings (Moody''s,S&amp;P)'!$A$2:$D$158,4,FALSE)</f>
        <v>B2</v>
      </c>
      <c r="D120" s="21">
        <f t="shared" si="6"/>
        <v>5.2343209797348314E-2</v>
      </c>
      <c r="E120" s="21">
        <f t="shared" si="7"/>
        <v>0.12801439572528456</v>
      </c>
      <c r="F120" s="11">
        <f t="shared" si="8"/>
        <v>8.0314395725284565E-2</v>
      </c>
      <c r="G120" s="139" t="str">
        <f>VLOOKUP(A120,'10-year CDS Spreads'!$A$2:$D$158,4,FALSE)</f>
        <v>NA</v>
      </c>
      <c r="H120" s="11" t="str">
        <f t="shared" si="10"/>
        <v>NA</v>
      </c>
      <c r="I120" s="14" t="str">
        <f t="shared" si="9"/>
        <v>NA</v>
      </c>
    </row>
    <row r="121" spans="1:9" ht="16">
      <c r="A121" s="105" t="str">
        <f>'Sovereign Ratings (Moody''s,S&amp;P)'!A114</f>
        <v>Paraguay</v>
      </c>
      <c r="B121" s="101" t="str">
        <f>VLOOKUP(A121,'Regional lookup table'!$A$2:$B$162,2,FALSE)</f>
        <v>Central and South America</v>
      </c>
      <c r="C121" s="9" t="str">
        <f>VLOOKUP(A121,'Sovereign Ratings (Moody''s,S&amp;P)'!$A$2:$D$158,4,FALSE)</f>
        <v>Baa3</v>
      </c>
      <c r="D121" s="21">
        <f t="shared" si="6"/>
        <v>2.091491502586354E-2</v>
      </c>
      <c r="E121" s="21">
        <f t="shared" si="7"/>
        <v>7.979143589877824E-2</v>
      </c>
      <c r="F121" s="11">
        <f t="shared" si="8"/>
        <v>3.2091435898778241E-2</v>
      </c>
      <c r="G121" s="139" t="str">
        <f>VLOOKUP(A121,'10-year CDS Spreads'!$A$2:$D$158,4,FALSE)</f>
        <v>NA</v>
      </c>
      <c r="H121" s="11" t="str">
        <f t="shared" si="10"/>
        <v>NA</v>
      </c>
      <c r="I121" s="14" t="str">
        <f t="shared" si="9"/>
        <v>NA</v>
      </c>
    </row>
    <row r="122" spans="1:9" ht="16">
      <c r="A122" s="105" t="str">
        <f>'Sovereign Ratings (Moody''s,S&amp;P)'!A115</f>
        <v>Peru</v>
      </c>
      <c r="B122" s="101" t="str">
        <f>VLOOKUP(A122,'Regional lookup table'!$A$2:$B$162,2,FALSE)</f>
        <v>Central and South America</v>
      </c>
      <c r="C122" s="9" t="str">
        <f>VLOOKUP(A122,'Sovereign Ratings (Moody''s,S&amp;P)'!$A$2:$D$158,4,FALSE)</f>
        <v>Baa1</v>
      </c>
      <c r="D122" s="21">
        <f t="shared" si="6"/>
        <v>1.5210847291537115E-2</v>
      </c>
      <c r="E122" s="21">
        <f t="shared" si="7"/>
        <v>7.1039226108202347E-2</v>
      </c>
      <c r="F122" s="11">
        <f t="shared" si="8"/>
        <v>2.3339226108202347E-2</v>
      </c>
      <c r="G122" s="139">
        <f>VLOOKUP(A122,'10-year CDS Spreads'!$A$2:$D$158,4,FALSE)</f>
        <v>1.24E-2</v>
      </c>
      <c r="H122" s="11">
        <f t="shared" si="10"/>
        <v>6.6726317087722434E-2</v>
      </c>
      <c r="I122" s="14">
        <f t="shared" si="9"/>
        <v>1.9026317087722434E-2</v>
      </c>
    </row>
    <row r="123" spans="1:9" ht="16">
      <c r="A123" s="105" t="str">
        <f>'Sovereign Ratings (Moody''s,S&amp;P)'!A116</f>
        <v>Philippines</v>
      </c>
      <c r="B123" s="101" t="str">
        <f>VLOOKUP(A123,'Regional lookup table'!$A$2:$B$162,2,FALSE)</f>
        <v>Asia</v>
      </c>
      <c r="C123" s="9" t="str">
        <f>VLOOKUP(A123,'Sovereign Ratings (Moody''s,S&amp;P)'!$A$2:$D$158,4,FALSE)</f>
        <v>Baa2</v>
      </c>
      <c r="D123" s="21">
        <f t="shared" si="6"/>
        <v>1.8118803391389805E-2</v>
      </c>
      <c r="E123" s="21">
        <f t="shared" si="7"/>
        <v>7.5501136981829281E-2</v>
      </c>
      <c r="F123" s="11">
        <f t="shared" si="8"/>
        <v>2.7801136981829278E-2</v>
      </c>
      <c r="G123" s="139">
        <f>VLOOKUP(A123,'10-year CDS Spreads'!$A$2:$D$158,4,FALSE)</f>
        <v>1.1599999999999999E-2</v>
      </c>
      <c r="H123" s="11">
        <f t="shared" si="10"/>
        <v>6.5498812759482272E-2</v>
      </c>
      <c r="I123" s="14">
        <f t="shared" si="9"/>
        <v>1.7798812759482276E-2</v>
      </c>
    </row>
    <row r="124" spans="1:9" ht="16">
      <c r="A124" s="105" t="str">
        <f>'Sovereign Ratings (Moody''s,S&amp;P)'!A117</f>
        <v>Poland</v>
      </c>
      <c r="B124" s="101" t="str">
        <f>VLOOKUP(A124,'Regional lookup table'!$A$2:$B$162,2,FALSE)</f>
        <v>Eastern Europe &amp; Russia</v>
      </c>
      <c r="C124" s="9" t="str">
        <f>VLOOKUP(A124,'Sovereign Ratings (Moody''s,S&amp;P)'!$A$2:$D$158,4,FALSE)</f>
        <v>A2</v>
      </c>
      <c r="D124" s="21">
        <f t="shared" si="6"/>
        <v>8.0528015072843552E-3</v>
      </c>
      <c r="E124" s="21">
        <f t="shared" si="7"/>
        <v>6.0056060880813007E-2</v>
      </c>
      <c r="F124" s="11">
        <f t="shared" si="8"/>
        <v>1.2356060880813008E-2</v>
      </c>
      <c r="G124" s="139">
        <f>VLOOKUP(A124,'10-year CDS Spreads'!$A$2:$D$158,4,FALSE)</f>
        <v>8.9999999999999993E-3</v>
      </c>
      <c r="H124" s="11">
        <f t="shared" si="10"/>
        <v>6.1509423692701765E-2</v>
      </c>
      <c r="I124" s="14">
        <f t="shared" si="9"/>
        <v>1.3809423692701765E-2</v>
      </c>
    </row>
    <row r="125" spans="1:9" ht="16">
      <c r="A125" s="105" t="str">
        <f>'Sovereign Ratings (Moody''s,S&amp;P)'!A118</f>
        <v>Portugal</v>
      </c>
      <c r="B125" s="101" t="str">
        <f>VLOOKUP(A125,'Regional lookup table'!$A$2:$B$162,2,FALSE)</f>
        <v>Western Europe</v>
      </c>
      <c r="C125" s="9" t="str">
        <f>VLOOKUP(A125,'Sovereign Ratings (Moody''s,S&amp;P)'!$A$2:$D$158,4,FALSE)</f>
        <v>A3</v>
      </c>
      <c r="D125" s="21">
        <f t="shared" si="6"/>
        <v>1.1408135468652839E-2</v>
      </c>
      <c r="E125" s="21">
        <f t="shared" si="7"/>
        <v>6.5204419581151765E-2</v>
      </c>
      <c r="F125" s="11">
        <f t="shared" si="8"/>
        <v>1.7504419581151766E-2</v>
      </c>
      <c r="G125" s="139">
        <f>VLOOKUP(A125,'10-year CDS Spreads'!$A$2:$D$158,4,FALSE)</f>
        <v>2.5999999999999999E-3</v>
      </c>
      <c r="H125" s="11">
        <f t="shared" si="10"/>
        <v>5.1689389066780507E-2</v>
      </c>
      <c r="I125" s="14">
        <f t="shared" si="9"/>
        <v>3.9893890667805102E-3</v>
      </c>
    </row>
    <row r="126" spans="1:9" ht="16">
      <c r="A126" s="105" t="str">
        <f>'Sovereign Ratings (Moody''s,S&amp;P)'!A119</f>
        <v>Qatar</v>
      </c>
      <c r="B126" s="101" t="str">
        <f>VLOOKUP(A126,'Regional lookup table'!$A$2:$B$162,2,FALSE)</f>
        <v>Middle East</v>
      </c>
      <c r="C126" s="9" t="str">
        <f>VLOOKUP(A126,'Sovereign Ratings (Moody''s,S&amp;P)'!$A$2:$D$158,4,FALSE)</f>
        <v>Aa2</v>
      </c>
      <c r="D126" s="21">
        <f t="shared" si="6"/>
        <v>4.6974675459158736E-3</v>
      </c>
      <c r="E126" s="21">
        <f t="shared" si="7"/>
        <v>5.4907702180474256E-2</v>
      </c>
      <c r="F126" s="11">
        <f t="shared" si="8"/>
        <v>7.2077021804742543E-3</v>
      </c>
      <c r="G126" s="139">
        <f>VLOOKUP(A126,'10-year CDS Spreads'!$A$2:$D$158,4,FALSE)</f>
        <v>7.2999999999999992E-3</v>
      </c>
      <c r="H126" s="11">
        <f t="shared" si="10"/>
        <v>5.890097699519143E-2</v>
      </c>
      <c r="I126" s="14">
        <f t="shared" si="9"/>
        <v>1.1200976995191432E-2</v>
      </c>
    </row>
    <row r="127" spans="1:9" ht="16">
      <c r="A127" s="105" t="str">
        <f>'Sovereign Ratings (Moody''s,S&amp;P)'!A120</f>
        <v>Ras Al Khaimah (Emirate of)</v>
      </c>
      <c r="B127" s="101" t="str">
        <f>VLOOKUP(A127,'Regional lookup table'!$A$2:$B$162,2,FALSE)</f>
        <v>Middle East</v>
      </c>
      <c r="C127" s="9" t="str">
        <f>VLOOKUP(A127,'Sovereign Ratings (Moody''s,S&amp;P)'!$A$2:$D$158,4,FALSE)</f>
        <v>A3</v>
      </c>
      <c r="D127" s="21">
        <f t="shared" si="6"/>
        <v>1.1408135468652839E-2</v>
      </c>
      <c r="E127" s="21">
        <f t="shared" si="7"/>
        <v>6.5204419581151765E-2</v>
      </c>
      <c r="F127" s="11">
        <f t="shared" si="8"/>
        <v>1.7504419581151766E-2</v>
      </c>
      <c r="G127" s="139" t="str">
        <f>VLOOKUP(A127,'10-year CDS Spreads'!$A$2:$D$158,4,FALSE)</f>
        <v>NA</v>
      </c>
      <c r="H127" s="11" t="str">
        <f t="shared" si="10"/>
        <v>NA</v>
      </c>
      <c r="I127" s="14" t="str">
        <f t="shared" si="9"/>
        <v>NA</v>
      </c>
    </row>
    <row r="128" spans="1:9" ht="16">
      <c r="A128" s="105" t="str">
        <f>'Sovereign Ratings (Moody''s,S&amp;P)'!A121</f>
        <v>Romania</v>
      </c>
      <c r="B128" s="101" t="str">
        <f>VLOOKUP(A128,'Regional lookup table'!$A$2:$B$162,2,FALSE)</f>
        <v>Eastern Europe &amp; Russia</v>
      </c>
      <c r="C128" s="9" t="str">
        <f>VLOOKUP(A128,'Sovereign Ratings (Moody''s,S&amp;P)'!$A$2:$D$158,4,FALSE)</f>
        <v>Baa3</v>
      </c>
      <c r="D128" s="21">
        <f t="shared" si="6"/>
        <v>2.091491502586354E-2</v>
      </c>
      <c r="E128" s="21">
        <f t="shared" si="7"/>
        <v>7.979143589877824E-2</v>
      </c>
      <c r="F128" s="11">
        <f t="shared" si="8"/>
        <v>3.2091435898778241E-2</v>
      </c>
      <c r="G128" s="139">
        <f>VLOOKUP(A128,'10-year CDS Spreads'!$A$2:$D$158,4,FALSE)</f>
        <v>2.2499999999999999E-2</v>
      </c>
      <c r="H128" s="11">
        <f t="shared" si="10"/>
        <v>8.2223559231754423E-2</v>
      </c>
      <c r="I128" s="14">
        <f t="shared" si="9"/>
        <v>3.4523559231754417E-2</v>
      </c>
    </row>
    <row r="129" spans="1:9" ht="16">
      <c r="A129" s="105" t="str">
        <f>'Sovereign Ratings (Moody''s,S&amp;P)'!A122</f>
        <v>Rwanda</v>
      </c>
      <c r="B129" s="101" t="str">
        <f>VLOOKUP(A129,'Regional lookup table'!$A$2:$B$162,2,FALSE)</f>
        <v>Africa</v>
      </c>
      <c r="C129" s="9" t="str">
        <f>VLOOKUP(A129,'Sovereign Ratings (Moody''s,S&amp;P)'!$A$2:$D$158,4,FALSE)</f>
        <v>B2</v>
      </c>
      <c r="D129" s="21">
        <f t="shared" si="6"/>
        <v>5.2343209797348314E-2</v>
      </c>
      <c r="E129" s="21">
        <f t="shared" si="7"/>
        <v>0.12801439572528456</v>
      </c>
      <c r="F129" s="11">
        <f t="shared" si="8"/>
        <v>8.0314395725284565E-2</v>
      </c>
      <c r="G129" s="139">
        <f>VLOOKUP(A129,'10-year CDS Spreads'!$A$2:$D$158,4,FALSE)</f>
        <v>3.7699999999999997E-2</v>
      </c>
      <c r="H129" s="11">
        <f t="shared" si="10"/>
        <v>0.10554614146831739</v>
      </c>
      <c r="I129" s="14">
        <f t="shared" si="9"/>
        <v>5.7846141468317396E-2</v>
      </c>
    </row>
    <row r="130" spans="1:9" ht="16">
      <c r="A130" s="105" t="str">
        <f>'Sovereign Ratings (Moody''s,S&amp;P)'!A123</f>
        <v>Saudi Arabia</v>
      </c>
      <c r="B130" s="101" t="str">
        <f>VLOOKUP(A130,'Regional lookup table'!$A$2:$B$162,2,FALSE)</f>
        <v>Middle East</v>
      </c>
      <c r="C130" s="9" t="str">
        <f>VLOOKUP(A130,'Sovereign Ratings (Moody''s,S&amp;P)'!$A$2:$D$158,4,FALSE)</f>
        <v>Aa3</v>
      </c>
      <c r="D130" s="21">
        <f t="shared" si="6"/>
        <v>5.7040677343264193E-3</v>
      </c>
      <c r="E130" s="21">
        <f t="shared" si="7"/>
        <v>5.6452209790575886E-2</v>
      </c>
      <c r="F130" s="11">
        <f t="shared" si="8"/>
        <v>8.7522097905758829E-3</v>
      </c>
      <c r="G130" s="139">
        <f>VLOOKUP(A130,'10-year CDS Spreads'!$A$2:$D$158,4,FALSE)</f>
        <v>1.0999999999999999E-2</v>
      </c>
      <c r="H130" s="11">
        <f t="shared" si="10"/>
        <v>6.4578184513302161E-2</v>
      </c>
      <c r="I130" s="14">
        <f t="shared" si="9"/>
        <v>1.6878184513302159E-2</v>
      </c>
    </row>
    <row r="131" spans="1:9" ht="16">
      <c r="A131" s="105" t="str">
        <f>'Sovereign Ratings (Moody''s,S&amp;P)'!A124</f>
        <v>Senegal</v>
      </c>
      <c r="B131" s="101" t="str">
        <f>VLOOKUP(A131,'Regional lookup table'!$A$2:$B$162,2,FALSE)</f>
        <v>Africa</v>
      </c>
      <c r="C131" s="9" t="str">
        <f>VLOOKUP(A131,'Sovereign Ratings (Moody''s,S&amp;P)'!$A$2:$D$158,4,FALSE)</f>
        <v>Caa1</v>
      </c>
      <c r="D131" s="21">
        <f t="shared" si="6"/>
        <v>7.1356768911769716E-2</v>
      </c>
      <c r="E131" s="21">
        <f t="shared" si="7"/>
        <v>0.15718842836053751</v>
      </c>
      <c r="F131" s="11">
        <f t="shared" si="8"/>
        <v>0.10948842836053752</v>
      </c>
      <c r="G131" s="139">
        <f>VLOOKUP(A131,'10-year CDS Spreads'!$A$2:$D$158,4,FALSE)</f>
        <v>8.5300000000000001E-2</v>
      </c>
      <c r="H131" s="11">
        <f t="shared" si="10"/>
        <v>0.17858264899860674</v>
      </c>
      <c r="I131" s="14">
        <f t="shared" si="9"/>
        <v>0.13088264899860674</v>
      </c>
    </row>
    <row r="132" spans="1:9" ht="16">
      <c r="A132" s="105" t="str">
        <f>'Sovereign Ratings (Moody''s,S&amp;P)'!A125</f>
        <v>Serbia</v>
      </c>
      <c r="B132" s="101" t="str">
        <f>VLOOKUP(A132,'Regional lookup table'!$A$2:$B$162,2,FALSE)</f>
        <v>Eastern Europe &amp; Russia</v>
      </c>
      <c r="C132" s="9" t="str">
        <f>VLOOKUP(A132,'Sovereign Ratings (Moody''s,S&amp;P)'!$A$2:$D$158,4,FALSE)</f>
        <v>Ba2</v>
      </c>
      <c r="D132" s="21">
        <f t="shared" si="6"/>
        <v>2.863218313701105E-2</v>
      </c>
      <c r="E132" s="21">
        <f t="shared" si="7"/>
        <v>9.1632660909557379E-2</v>
      </c>
      <c r="F132" s="11">
        <f t="shared" si="8"/>
        <v>4.3932660909557379E-2</v>
      </c>
      <c r="G132" s="139">
        <f>VLOOKUP(A132,'10-year CDS Spreads'!$A$2:$D$158,4,FALSE)</f>
        <v>1.95E-2</v>
      </c>
      <c r="H132" s="11">
        <f t="shared" si="10"/>
        <v>7.7620418000853827E-2</v>
      </c>
      <c r="I132" s="14">
        <f t="shared" si="9"/>
        <v>2.9920418000853828E-2</v>
      </c>
    </row>
    <row r="133" spans="1:9" ht="16">
      <c r="A133" s="105" t="str">
        <f>'Sovereign Ratings (Moody''s,S&amp;P)'!A126</f>
        <v>Sharjah</v>
      </c>
      <c r="B133" s="101" t="str">
        <f>VLOOKUP(A133,'Regional lookup table'!$A$2:$B$162,2,FALSE)</f>
        <v>Middle East</v>
      </c>
      <c r="C133" s="9" t="str">
        <f>VLOOKUP(A133,'Sovereign Ratings (Moody''s,S&amp;P)'!$A$2:$D$158,4,FALSE)</f>
        <v>Ba1</v>
      </c>
      <c r="D133" s="21">
        <f t="shared" si="6"/>
        <v>2.3822871125716225E-2</v>
      </c>
      <c r="E133" s="21">
        <f t="shared" si="7"/>
        <v>8.425334677240516E-2</v>
      </c>
      <c r="F133" s="11">
        <f t="shared" si="8"/>
        <v>3.6553346772405161E-2</v>
      </c>
      <c r="G133" s="139" t="e">
        <f>VLOOKUP(A133,'10-year CDS Spreads'!$A$2:$D$158,4,FALSE)</f>
        <v>#N/A</v>
      </c>
      <c r="H133" s="11" t="e">
        <f t="shared" si="10"/>
        <v>#N/A</v>
      </c>
      <c r="I133" s="14" t="e">
        <f t="shared" si="9"/>
        <v>#N/A</v>
      </c>
    </row>
    <row r="134" spans="1:9" ht="16">
      <c r="A134" s="105" t="str">
        <f>'Sovereign Ratings (Moody''s,S&amp;P)'!A127</f>
        <v>Singapore</v>
      </c>
      <c r="B134" s="101" t="str">
        <f>VLOOKUP(A134,'Regional lookup table'!$A$2:$B$162,2,FALSE)</f>
        <v>Asia</v>
      </c>
      <c r="C134" s="9" t="str">
        <f>VLOOKUP(A134,'Sovereign Ratings (Moody''s,S&amp;P)'!$A$2:$D$158,4,FALSE)</f>
        <v>Aaa</v>
      </c>
      <c r="D134" s="21">
        <f t="shared" si="6"/>
        <v>0</v>
      </c>
      <c r="E134" s="21">
        <f t="shared" si="7"/>
        <v>4.7699999999999999E-2</v>
      </c>
      <c r="F134" s="11">
        <f t="shared" si="8"/>
        <v>0</v>
      </c>
      <c r="G134" s="139" t="e">
        <f>VLOOKUP(A134,'10-year CDS Spreads'!$A$2:$D$158,4,FALSE)</f>
        <v>#N/A</v>
      </c>
      <c r="H134" s="11" t="e">
        <f t="shared" si="10"/>
        <v>#N/A</v>
      </c>
      <c r="I134" s="14" t="e">
        <f t="shared" si="9"/>
        <v>#N/A</v>
      </c>
    </row>
    <row r="135" spans="1:9" ht="16">
      <c r="A135" s="105" t="str">
        <f>'Sovereign Ratings (Moody''s,S&amp;P)'!A128</f>
        <v>Slovakia</v>
      </c>
      <c r="B135" s="101" t="str">
        <f>VLOOKUP(A135,'Regional lookup table'!$A$2:$B$162,2,FALSE)</f>
        <v>Eastern Europe &amp; Russia</v>
      </c>
      <c r="C135" s="9" t="str">
        <f>VLOOKUP(A135,'Sovereign Ratings (Moody''s,S&amp;P)'!$A$2:$D$158,4,FALSE)</f>
        <v>A3</v>
      </c>
      <c r="D135" s="21">
        <f t="shared" si="6"/>
        <v>1.1408135468652839E-2</v>
      </c>
      <c r="E135" s="21">
        <f t="shared" si="7"/>
        <v>6.5204419581151765E-2</v>
      </c>
      <c r="F135" s="11">
        <f t="shared" si="8"/>
        <v>1.7504419581151766E-2</v>
      </c>
      <c r="G135" s="139">
        <f>VLOOKUP(A135,'10-year CDS Spreads'!$A$2:$D$158,4,FALSE)</f>
        <v>5.0999999999999995E-3</v>
      </c>
      <c r="H135" s="11">
        <f>IF(I135="NA","NA",$E$3+I135)</f>
        <v>5.5525340092531003E-2</v>
      </c>
      <c r="I135" s="14">
        <f>IF(G135="NA","NA",G135*$E$6)</f>
        <v>7.8253400925310003E-3</v>
      </c>
    </row>
    <row r="136" spans="1:9" ht="16">
      <c r="A136" s="105" t="str">
        <f>'Sovereign Ratings (Moody''s,S&amp;P)'!A129</f>
        <v>Slovenia</v>
      </c>
      <c r="B136" s="101" t="str">
        <f>VLOOKUP(A136,'Regional lookup table'!$A$2:$B$162,2,FALSE)</f>
        <v>Eastern Europe &amp; Russia</v>
      </c>
      <c r="C136" s="9" t="str">
        <f>VLOOKUP(A136,'Sovereign Ratings (Moody''s,S&amp;P)'!$A$2:$D$158,4,FALSE)</f>
        <v>A2</v>
      </c>
      <c r="D136" s="21">
        <f t="shared" si="6"/>
        <v>8.0528015072843552E-3</v>
      </c>
      <c r="E136" s="21">
        <f t="shared" si="7"/>
        <v>6.0056060880813007E-2</v>
      </c>
      <c r="F136" s="11">
        <f t="shared" si="8"/>
        <v>1.2356060880813008E-2</v>
      </c>
      <c r="G136" s="139">
        <f>VLOOKUP(A136,'10-year CDS Spreads'!$A$2:$D$158,4,FALSE)</f>
        <v>6.2000000000000006E-3</v>
      </c>
      <c r="H136" s="11">
        <f t="shared" si="10"/>
        <v>5.721315854386122E-2</v>
      </c>
      <c r="I136" s="14">
        <f t="shared" si="9"/>
        <v>9.5131585438612189E-3</v>
      </c>
    </row>
    <row r="137" spans="1:9" ht="16">
      <c r="A137" s="105" t="str">
        <f>'Sovereign Ratings (Moody''s,S&amp;P)'!A130</f>
        <v>Solomon Islands</v>
      </c>
      <c r="B137" s="101" t="str">
        <f>VLOOKUP(A137,'Regional lookup table'!$A$2:$B$162,2,FALSE)</f>
        <v>Asia</v>
      </c>
      <c r="C137" s="9" t="str">
        <f>VLOOKUP(A137,'Sovereign Ratings (Moody''s,S&amp;P)'!$A$2:$D$158,4,FALSE)</f>
        <v>Caa1</v>
      </c>
      <c r="D137" s="21">
        <f t="shared" si="6"/>
        <v>7.1356768911769716E-2</v>
      </c>
      <c r="E137" s="21">
        <f t="shared" si="7"/>
        <v>0.15718842836053751</v>
      </c>
      <c r="F137" s="11">
        <f t="shared" si="8"/>
        <v>0.10948842836053752</v>
      </c>
      <c r="G137" s="139" t="e">
        <f>VLOOKUP(A137,'10-year CDS Spreads'!$A$2:$D$158,4,FALSE)</f>
        <v>#N/A</v>
      </c>
      <c r="H137" s="11" t="e">
        <f t="shared" si="10"/>
        <v>#N/A</v>
      </c>
      <c r="I137" s="14" t="e">
        <f t="shared" si="9"/>
        <v>#N/A</v>
      </c>
    </row>
    <row r="138" spans="1:9" ht="16">
      <c r="A138" s="105" t="str">
        <f>'Sovereign Ratings (Moody''s,S&amp;P)'!A131</f>
        <v>South Africa</v>
      </c>
      <c r="B138" s="101" t="str">
        <f>VLOOKUP(A138,'Regional lookup table'!$A$2:$B$162,2,FALSE)</f>
        <v>Africa</v>
      </c>
      <c r="C138" s="9" t="str">
        <f>VLOOKUP(A138,'Sovereign Ratings (Moody''s,S&amp;P)'!$A$2:$D$158,4,FALSE)</f>
        <v>Ba2</v>
      </c>
      <c r="D138" s="21">
        <f t="shared" si="6"/>
        <v>2.863218313701105E-2</v>
      </c>
      <c r="E138" s="21">
        <f t="shared" si="7"/>
        <v>9.1632660909557379E-2</v>
      </c>
      <c r="F138" s="11">
        <f t="shared" si="8"/>
        <v>4.3932660909557379E-2</v>
      </c>
      <c r="G138" s="139">
        <f>VLOOKUP(A138,'10-year CDS Spreads'!$A$2:$D$158,4,FALSE)</f>
        <v>2.87E-2</v>
      </c>
      <c r="H138" s="11">
        <f t="shared" si="10"/>
        <v>9.1736717775615637E-2</v>
      </c>
      <c r="I138" s="14">
        <f t="shared" si="9"/>
        <v>4.4036717775615637E-2</v>
      </c>
    </row>
    <row r="139" spans="1:9" ht="16">
      <c r="A139" s="105" t="str">
        <f>'Sovereign Ratings (Moody''s,S&amp;P)'!A132</f>
        <v>Spain</v>
      </c>
      <c r="B139" s="101" t="str">
        <f>VLOOKUP(A139,'Regional lookup table'!$A$2:$B$162,2,FALSE)</f>
        <v>Western Europe</v>
      </c>
      <c r="C139" s="9" t="str">
        <f>VLOOKUP(A139,'Sovereign Ratings (Moody''s,S&amp;P)'!$A$2:$D$158,4,FALSE)</f>
        <v>A3</v>
      </c>
      <c r="D139" s="21">
        <f t="shared" ref="D139:D165" si="16">VLOOKUP(C139,$J$10:$K$32,2,FALSE)/10000</f>
        <v>1.1408135468652839E-2</v>
      </c>
      <c r="E139" s="21">
        <f t="shared" ref="E139:E165" si="17">$E$3+F139</f>
        <v>6.5204419581151765E-2</v>
      </c>
      <c r="F139" s="11">
        <f t="shared" ref="F139:F161" si="18">IF($E$5="Yes",D139*$E$6,D139)</f>
        <v>1.7504419581151766E-2</v>
      </c>
      <c r="G139" s="139">
        <f>VLOOKUP(A139,'10-year CDS Spreads'!$A$2:$D$158,4,FALSE)</f>
        <v>2.8999999999999998E-3</v>
      </c>
      <c r="H139" s="11">
        <f t="shared" si="10"/>
        <v>5.2149703189870569E-2</v>
      </c>
      <c r="I139" s="14">
        <f t="shared" si="9"/>
        <v>4.4497031898705691E-3</v>
      </c>
    </row>
    <row r="140" spans="1:9" ht="16">
      <c r="A140" s="105" t="str">
        <f>'Sovereign Ratings (Moody''s,S&amp;P)'!A133</f>
        <v>Sri Lanka</v>
      </c>
      <c r="B140" s="101" t="str">
        <f>VLOOKUP(A140,'Regional lookup table'!$A$2:$B$162,2,FALSE)</f>
        <v>Asia</v>
      </c>
      <c r="C140" s="9" t="str">
        <f>VLOOKUP(A140,'Sovereign Ratings (Moody''s,S&amp;P)'!$A$2:$D$158,4,FALSE)</f>
        <v>Ca</v>
      </c>
      <c r="D140" s="21">
        <f t="shared" si="16"/>
        <v>0.11419319915190733</v>
      </c>
      <c r="E140" s="21">
        <f t="shared" si="17"/>
        <v>0.22291580776819558</v>
      </c>
      <c r="F140" s="11">
        <f t="shared" si="18"/>
        <v>0.17521580776819559</v>
      </c>
      <c r="G140" s="139" t="str">
        <f>VLOOKUP(A140,'10-year CDS Spreads'!$A$2:$D$158,4,FALSE)</f>
        <v>NA</v>
      </c>
      <c r="H140" s="11" t="str">
        <f t="shared" si="10"/>
        <v>NA</v>
      </c>
      <c r="I140" s="14" t="str">
        <f t="shared" si="9"/>
        <v>NA</v>
      </c>
    </row>
    <row r="141" spans="1:9" ht="16">
      <c r="A141" s="105" t="str">
        <f>'Sovereign Ratings (Moody''s,S&amp;P)'!A134</f>
        <v>St. Maarten</v>
      </c>
      <c r="B141" s="101" t="str">
        <f>VLOOKUP(A141,'Regional lookup table'!$A$2:$B$162,2,FALSE)</f>
        <v>Caribbean</v>
      </c>
      <c r="C141" s="9" t="str">
        <f>VLOOKUP(A141,'Sovereign Ratings (Moody''s,S&amp;P)'!$A$2:$D$158,4,FALSE)</f>
        <v>Ba2</v>
      </c>
      <c r="D141" s="21">
        <f t="shared" si="16"/>
        <v>2.863218313701105E-2</v>
      </c>
      <c r="E141" s="21">
        <f t="shared" si="17"/>
        <v>9.1632660909557379E-2</v>
      </c>
      <c r="F141" s="11">
        <f t="shared" si="18"/>
        <v>4.3932660909557379E-2</v>
      </c>
      <c r="G141" s="139" t="e">
        <f>VLOOKUP(A141,'10-year CDS Spreads'!$A$2:$D$158,4,FALSE)</f>
        <v>#N/A</v>
      </c>
      <c r="H141" s="11" t="e">
        <f t="shared" si="10"/>
        <v>#N/A</v>
      </c>
      <c r="I141" s="14" t="e">
        <f t="shared" si="9"/>
        <v>#N/A</v>
      </c>
    </row>
    <row r="142" spans="1:9" ht="16">
      <c r="A142" s="105" t="str">
        <f>'Sovereign Ratings (Moody''s,S&amp;P)'!A135</f>
        <v>St. Vincent &amp; the Grenadines</v>
      </c>
      <c r="B142" s="101" t="str">
        <f>VLOOKUP(A142,'Regional lookup table'!$A$2:$B$162,2,FALSE)</f>
        <v>Caribbean</v>
      </c>
      <c r="C142" s="9" t="str">
        <f>VLOOKUP(A142,'Sovereign Ratings (Moody''s,S&amp;P)'!$A$2:$D$158,4,FALSE)</f>
        <v>B3</v>
      </c>
      <c r="D142" s="21">
        <f t="shared" si="16"/>
        <v>6.1849989354559008E-2</v>
      </c>
      <c r="E142" s="21">
        <f t="shared" si="17"/>
        <v>0.14260141204291102</v>
      </c>
      <c r="F142" s="11">
        <f t="shared" si="18"/>
        <v>9.4901412042911026E-2</v>
      </c>
      <c r="G142" s="139" t="e">
        <f>VLOOKUP(A142,'10-year CDS Spreads'!$A$2:$D$158,4,FALSE)</f>
        <v>#N/A</v>
      </c>
      <c r="H142" s="11" t="e">
        <f>IF(I142="NA","NA",$E$3+I142)</f>
        <v>#N/A</v>
      </c>
      <c r="I142" s="14" t="e">
        <f>IF(G142="NA","NA",G142*$E$6)</f>
        <v>#N/A</v>
      </c>
    </row>
    <row r="143" spans="1:9" ht="16">
      <c r="A143" s="105" t="str">
        <f>'Sovereign Ratings (Moody''s,S&amp;P)'!A136</f>
        <v>Suriname</v>
      </c>
      <c r="B143" s="101" t="str">
        <f>VLOOKUP(A143,'Regional lookup table'!$A$2:$B$162,2,FALSE)</f>
        <v>Central and South America</v>
      </c>
      <c r="C143" s="9" t="str">
        <f>VLOOKUP(A143,'Sovereign Ratings (Moody''s,S&amp;P)'!$A$2:$D$158,4,FALSE)</f>
        <v>Caa1</v>
      </c>
      <c r="D143" s="21">
        <f t="shared" si="16"/>
        <v>7.1356768911769716E-2</v>
      </c>
      <c r="E143" s="21">
        <f t="shared" si="17"/>
        <v>0.15718842836053751</v>
      </c>
      <c r="F143" s="11">
        <f t="shared" si="18"/>
        <v>0.10948842836053752</v>
      </c>
      <c r="G143" s="139" t="e">
        <f>VLOOKUP(A143,'10-year CDS Spreads'!$A$2:$D$158,4,FALSE)</f>
        <v>#N/A</v>
      </c>
      <c r="H143" s="11" t="e">
        <f t="shared" si="10"/>
        <v>#N/A</v>
      </c>
      <c r="I143" s="14" t="e">
        <f t="shared" ref="I143:I161" si="19">IF(G143="NA","NA",G143*$E$6)</f>
        <v>#N/A</v>
      </c>
    </row>
    <row r="144" spans="1:9" ht="16">
      <c r="A144" s="105" t="str">
        <f>'Sovereign Ratings (Moody''s,S&amp;P)'!A137</f>
        <v>Swaziland</v>
      </c>
      <c r="B144" s="101" t="str">
        <f>VLOOKUP(A144,'Regional lookup table'!$A$2:$B$162,2,FALSE)</f>
        <v>Africa</v>
      </c>
      <c r="C144" s="9" t="str">
        <f>VLOOKUP(A144,'Sovereign Ratings (Moody''s,S&amp;P)'!$A$2:$D$158,4,FALSE)</f>
        <v>B2</v>
      </c>
      <c r="D144" s="21">
        <f t="shared" si="16"/>
        <v>5.2343209797348314E-2</v>
      </c>
      <c r="E144" s="21">
        <f t="shared" si="17"/>
        <v>0.12801439572528456</v>
      </c>
      <c r="F144" s="11">
        <f t="shared" si="18"/>
        <v>8.0314395725284565E-2</v>
      </c>
      <c r="G144" s="139" t="e">
        <f>VLOOKUP(A144,'10-year CDS Spreads'!$A$2:$D$158,4,FALSE)</f>
        <v>#N/A</v>
      </c>
      <c r="H144" s="11" t="e">
        <f t="shared" si="10"/>
        <v>#N/A</v>
      </c>
      <c r="I144" s="14" t="e">
        <f t="shared" si="19"/>
        <v>#N/A</v>
      </c>
    </row>
    <row r="145" spans="1:9" ht="16">
      <c r="A145" s="105" t="str">
        <f>'Sovereign Ratings (Moody''s,S&amp;P)'!A138</f>
        <v>Sweden</v>
      </c>
      <c r="B145" s="101" t="str">
        <f>VLOOKUP(A145,'Regional lookup table'!$A$2:$B$162,2,FALSE)</f>
        <v>Western Europe</v>
      </c>
      <c r="C145" s="9" t="str">
        <f>VLOOKUP(A145,'Sovereign Ratings (Moody''s,S&amp;P)'!$A$2:$D$158,4,FALSE)</f>
        <v>Aaa</v>
      </c>
      <c r="D145" s="21">
        <f t="shared" si="16"/>
        <v>0</v>
      </c>
      <c r="E145" s="21">
        <f t="shared" si="17"/>
        <v>4.7699999999999999E-2</v>
      </c>
      <c r="F145" s="11">
        <f t="shared" si="18"/>
        <v>0</v>
      </c>
      <c r="G145" s="139">
        <f>VLOOKUP(A145,'10-year CDS Spreads'!$A$2:$D$158,4,FALSE)</f>
        <v>2.0000000000000009E-4</v>
      </c>
      <c r="H145" s="11">
        <f t="shared" si="10"/>
        <v>4.8006876082060036E-2</v>
      </c>
      <c r="I145" s="14">
        <f t="shared" si="19"/>
        <v>3.0687608206003941E-4</v>
      </c>
    </row>
    <row r="146" spans="1:9" ht="16">
      <c r="A146" s="105" t="str">
        <f>'Sovereign Ratings (Moody''s,S&amp;P)'!A139</f>
        <v>Switzerland</v>
      </c>
      <c r="B146" s="101" t="str">
        <f>VLOOKUP(A146,'Regional lookup table'!$A$2:$B$162,2,FALSE)</f>
        <v>Western Europe</v>
      </c>
      <c r="C146" s="9" t="str">
        <f>VLOOKUP(A146,'Sovereign Ratings (Moody''s,S&amp;P)'!$A$2:$D$158,4,FALSE)</f>
        <v>Aaa</v>
      </c>
      <c r="D146" s="21">
        <f t="shared" si="16"/>
        <v>0</v>
      </c>
      <c r="E146" s="21">
        <f t="shared" si="17"/>
        <v>4.7699999999999999E-2</v>
      </c>
      <c r="F146" s="11">
        <f t="shared" si="18"/>
        <v>0</v>
      </c>
      <c r="G146" s="139">
        <f>VLOOKUP(A146,'10-year CDS Spreads'!$A$2:$D$158,4,FALSE)</f>
        <v>0</v>
      </c>
      <c r="H146" s="11">
        <f>IF(I146="NA","NA",$E$3+I146)</f>
        <v>4.7699999999999999E-2</v>
      </c>
      <c r="I146" s="14">
        <f>IF(G146="NA","NA",G146*$E$6)</f>
        <v>0</v>
      </c>
    </row>
    <row r="147" spans="1:9" ht="16">
      <c r="A147" s="105" t="str">
        <f>'Sovereign Ratings (Moody''s,S&amp;P)'!A140</f>
        <v>Taiwan</v>
      </c>
      <c r="B147" s="101" t="str">
        <f>VLOOKUP(A147,'Regional lookup table'!$A$2:$B$162,2,FALSE)</f>
        <v>Asia</v>
      </c>
      <c r="C147" s="9" t="str">
        <f>VLOOKUP(A147,'Sovereign Ratings (Moody''s,S&amp;P)'!$A$2:$D$158,4,FALSE)</f>
        <v>Aa3</v>
      </c>
      <c r="D147" s="21">
        <f t="shared" si="16"/>
        <v>5.7040677343264193E-3</v>
      </c>
      <c r="E147" s="21">
        <f t="shared" si="17"/>
        <v>5.6452209790575886E-2</v>
      </c>
      <c r="F147" s="11">
        <f t="shared" si="18"/>
        <v>8.7522097905758829E-3</v>
      </c>
      <c r="G147" s="139" t="e">
        <f>VLOOKUP(A147,'10-year CDS Spreads'!$A$2:$D$158,4,FALSE)</f>
        <v>#N/A</v>
      </c>
      <c r="H147" s="11" t="e">
        <f>IF(I147="NA","NA",$E$3+I147)</f>
        <v>#N/A</v>
      </c>
      <c r="I147" s="14" t="e">
        <f>IF(G147="NA","NA",G147*$E$6)</f>
        <v>#N/A</v>
      </c>
    </row>
    <row r="148" spans="1:9" ht="16">
      <c r="A148" s="105" t="str">
        <f>'Sovereign Ratings (Moody''s,S&amp;P)'!A141</f>
        <v>Tajikistan</v>
      </c>
      <c r="B148" s="101" t="str">
        <f>VLOOKUP(A148,'Regional lookup table'!$A$2:$B$162,2,FALSE)</f>
        <v>Eastern Europe &amp; Russia</v>
      </c>
      <c r="C148" s="9" t="str">
        <f>VLOOKUP(A148,'Sovereign Ratings (Moody''s,S&amp;P)'!$A$2:$D$158,4,FALSE)</f>
        <v>B2</v>
      </c>
      <c r="D148" s="21">
        <f t="shared" si="16"/>
        <v>5.2343209797348314E-2</v>
      </c>
      <c r="E148" s="21">
        <f t="shared" si="17"/>
        <v>0.12801439572528456</v>
      </c>
      <c r="F148" s="11">
        <f t="shared" si="18"/>
        <v>8.0314395725284565E-2</v>
      </c>
      <c r="G148" s="139" t="e">
        <f>VLOOKUP(A148,'10-year CDS Spreads'!$A$2:$D$158,4,FALSE)</f>
        <v>#N/A</v>
      </c>
      <c r="H148" s="11" t="e">
        <f t="shared" ref="H148:H156" si="20">IF(I148="NA","NA",$E$3+I148)</f>
        <v>#N/A</v>
      </c>
      <c r="I148" s="14" t="e">
        <f t="shared" si="19"/>
        <v>#N/A</v>
      </c>
    </row>
    <row r="149" spans="1:9" ht="16">
      <c r="A149" s="105" t="str">
        <f>'Sovereign Ratings (Moody''s,S&amp;P)'!A142</f>
        <v>Tanzania</v>
      </c>
      <c r="B149" s="101" t="str">
        <f>VLOOKUP(A149,'Regional lookup table'!$A$2:$B$162,2,FALSE)</f>
        <v>Africa</v>
      </c>
      <c r="C149" s="9" t="str">
        <f>VLOOKUP(A149,'Sovereign Ratings (Moody''s,S&amp;P)'!$A$2:$D$158,4,FALSE)</f>
        <v>B1</v>
      </c>
      <c r="D149" s="21">
        <f t="shared" si="16"/>
        <v>4.2836430240137613E-2</v>
      </c>
      <c r="E149" s="21">
        <f t="shared" si="17"/>
        <v>0.1134273794076581</v>
      </c>
      <c r="F149" s="11">
        <f t="shared" si="18"/>
        <v>6.572737940765809E-2</v>
      </c>
      <c r="G149" s="139" t="e">
        <f>VLOOKUP(A149,'10-year CDS Spreads'!$A$2:$D$158,4,FALSE)</f>
        <v>#N/A</v>
      </c>
      <c r="H149" s="11" t="e">
        <f t="shared" si="20"/>
        <v>#N/A</v>
      </c>
      <c r="I149" s="14" t="e">
        <f t="shared" si="19"/>
        <v>#N/A</v>
      </c>
    </row>
    <row r="150" spans="1:9" ht="16">
      <c r="A150" s="105" t="str">
        <f>'Sovereign Ratings (Moody''s,S&amp;P)'!A143</f>
        <v>Thailand</v>
      </c>
      <c r="B150" s="101" t="str">
        <f>VLOOKUP(A150,'Regional lookup table'!$A$2:$B$162,2,FALSE)</f>
        <v>Asia</v>
      </c>
      <c r="C150" s="9" t="str">
        <f>VLOOKUP(A150,'Sovereign Ratings (Moody''s,S&amp;P)'!$A$2:$D$158,4,FALSE)</f>
        <v>Baa1</v>
      </c>
      <c r="D150" s="21">
        <f t="shared" si="16"/>
        <v>1.5210847291537115E-2</v>
      </c>
      <c r="E150" s="21">
        <f t="shared" si="17"/>
        <v>7.1039226108202347E-2</v>
      </c>
      <c r="F150" s="11">
        <f t="shared" si="18"/>
        <v>2.3339226108202347E-2</v>
      </c>
      <c r="G150" s="139">
        <f>VLOOKUP(A150,'10-year CDS Spreads'!$A$2:$D$158,4,FALSE)</f>
        <v>7.1999999999999998E-3</v>
      </c>
      <c r="H150" s="11">
        <f t="shared" si="20"/>
        <v>5.8747538954161412E-2</v>
      </c>
      <c r="I150" s="14">
        <f t="shared" si="19"/>
        <v>1.1047538954161414E-2</v>
      </c>
    </row>
    <row r="151" spans="1:9" ht="16">
      <c r="A151" s="105" t="str">
        <f>'Sovereign Ratings (Moody''s,S&amp;P)'!A144</f>
        <v>Togo</v>
      </c>
      <c r="B151" s="101" t="str">
        <f>VLOOKUP(A151,'Regional lookup table'!$A$2:$B$162,2,FALSE)</f>
        <v>Africa</v>
      </c>
      <c r="C151" s="9" t="str">
        <f>VLOOKUP(A151,'Sovereign Ratings (Moody''s,S&amp;P)'!$A$2:$D$158,4,FALSE)</f>
        <v>B3</v>
      </c>
      <c r="D151" s="21">
        <f t="shared" si="16"/>
        <v>6.1849989354559008E-2</v>
      </c>
      <c r="E151" s="21">
        <f t="shared" si="17"/>
        <v>0.14260141204291102</v>
      </c>
      <c r="F151" s="11">
        <f t="shared" si="18"/>
        <v>9.4901412042911026E-2</v>
      </c>
      <c r="G151" s="139" t="e">
        <f>VLOOKUP(A151,'10-year CDS Spreads'!$A$2:$D$158,4,FALSE)</f>
        <v>#N/A</v>
      </c>
      <c r="H151" s="11" t="e">
        <f t="shared" si="20"/>
        <v>#N/A</v>
      </c>
      <c r="I151" s="14" t="e">
        <f t="shared" si="19"/>
        <v>#N/A</v>
      </c>
    </row>
    <row r="152" spans="1:9" ht="16">
      <c r="A152" s="105" t="str">
        <f>'Sovereign Ratings (Moody''s,S&amp;P)'!A145</f>
        <v>Trinidad and Tobago</v>
      </c>
      <c r="B152" s="101" t="str">
        <f>VLOOKUP(A152,'Regional lookup table'!$A$2:$B$162,2,FALSE)</f>
        <v>Caribbean</v>
      </c>
      <c r="C152" s="9" t="str">
        <f>VLOOKUP(A152,'Sovereign Ratings (Moody''s,S&amp;P)'!$A$2:$D$158,4,FALSE)</f>
        <v>Ba2</v>
      </c>
      <c r="D152" s="21">
        <f t="shared" si="16"/>
        <v>2.863218313701105E-2</v>
      </c>
      <c r="E152" s="21">
        <f t="shared" si="17"/>
        <v>9.1632660909557379E-2</v>
      </c>
      <c r="F152" s="11">
        <f t="shared" si="18"/>
        <v>4.3932660909557379E-2</v>
      </c>
      <c r="G152" s="139" t="e">
        <f>VLOOKUP(A152,'10-year CDS Spreads'!$A$2:$D$158,4,FALSE)</f>
        <v>#N/A</v>
      </c>
      <c r="H152" s="11" t="e">
        <f t="shared" si="20"/>
        <v>#N/A</v>
      </c>
      <c r="I152" s="14" t="e">
        <f t="shared" si="19"/>
        <v>#N/A</v>
      </c>
    </row>
    <row r="153" spans="1:9" ht="16">
      <c r="A153" s="105" t="str">
        <f>'Sovereign Ratings (Moody''s,S&amp;P)'!A146</f>
        <v>Tunisia</v>
      </c>
      <c r="B153" s="101" t="str">
        <f>VLOOKUP(A153,'Regional lookup table'!$A$2:$B$162,2,FALSE)</f>
        <v>Africa</v>
      </c>
      <c r="C153" s="9" t="str">
        <f>VLOOKUP(A153,'Sovereign Ratings (Moody''s,S&amp;P)'!$A$2:$D$158,4,FALSE)</f>
        <v>Caa1</v>
      </c>
      <c r="D153" s="21">
        <f t="shared" si="16"/>
        <v>7.1356768911769716E-2</v>
      </c>
      <c r="E153" s="21">
        <f t="shared" si="17"/>
        <v>0.15718842836053751</v>
      </c>
      <c r="F153" s="11">
        <f t="shared" si="18"/>
        <v>0.10948842836053752</v>
      </c>
      <c r="G153" s="139">
        <f>VLOOKUP(A153,'10-year CDS Spreads'!$A$2:$D$158,4,FALSE)</f>
        <v>6.770000000000001E-2</v>
      </c>
      <c r="H153" s="11">
        <f t="shared" si="20"/>
        <v>0.15157755377732332</v>
      </c>
      <c r="I153" s="14">
        <f t="shared" si="19"/>
        <v>0.10387755377732331</v>
      </c>
    </row>
    <row r="154" spans="1:9" ht="16">
      <c r="A154" s="105" t="str">
        <f>'Sovereign Ratings (Moody''s,S&amp;P)'!A147</f>
        <v>Turkey</v>
      </c>
      <c r="B154" s="101" t="str">
        <f>VLOOKUP(A154,'Regional lookup table'!$A$2:$B$162,2,FALSE)</f>
        <v>Western Europe</v>
      </c>
      <c r="C154" s="9" t="str">
        <f>VLOOKUP(A154,'Sovereign Ratings (Moody''s,S&amp;P)'!$A$2:$D$158,4,FALSE)</f>
        <v>Ba3</v>
      </c>
      <c r="D154" s="21">
        <f t="shared" si="16"/>
        <v>3.4224406405958516E-2</v>
      </c>
      <c r="E154" s="21">
        <f t="shared" si="17"/>
        <v>0.1002132587434553</v>
      </c>
      <c r="F154" s="11">
        <f t="shared" si="18"/>
        <v>5.2513258743455297E-2</v>
      </c>
      <c r="G154" s="139">
        <f>VLOOKUP(A154,'10-year CDS Spreads'!$A$2:$D$158,4,FALSE)</f>
        <v>3.9100000000000003E-2</v>
      </c>
      <c r="H154" s="11">
        <f t="shared" si="20"/>
        <v>0.10769427404273768</v>
      </c>
      <c r="I154" s="14">
        <f t="shared" si="19"/>
        <v>5.9994274042737682E-2</v>
      </c>
    </row>
    <row r="155" spans="1:9" ht="16">
      <c r="A155" s="105" t="str">
        <f>'Sovereign Ratings (Moody''s,S&amp;P)'!A148</f>
        <v>Turks and Caicos Islands</v>
      </c>
      <c r="B155" s="101" t="str">
        <f>VLOOKUP(A155,'Regional lookup table'!$A$2:$B$162,2,FALSE)</f>
        <v>Caribbean</v>
      </c>
      <c r="C155" s="9" t="str">
        <f>VLOOKUP(A155,'Sovereign Ratings (Moody''s,S&amp;P)'!$A$2:$D$158,4,FALSE)</f>
        <v>Baa1</v>
      </c>
      <c r="D155" s="21">
        <f t="shared" si="16"/>
        <v>1.5210847291537115E-2</v>
      </c>
      <c r="E155" s="21">
        <f t="shared" si="17"/>
        <v>7.1039226108202347E-2</v>
      </c>
      <c r="F155" s="11">
        <f t="shared" si="18"/>
        <v>2.3339226108202347E-2</v>
      </c>
      <c r="G155" s="139" t="e">
        <f>VLOOKUP(A155,'10-year CDS Spreads'!$A$2:$D$158,4,FALSE)</f>
        <v>#N/A</v>
      </c>
      <c r="H155" s="11" t="e">
        <f t="shared" si="20"/>
        <v>#N/A</v>
      </c>
      <c r="I155" s="14" t="e">
        <f t="shared" si="19"/>
        <v>#N/A</v>
      </c>
    </row>
    <row r="156" spans="1:9" ht="16">
      <c r="A156" s="105" t="str">
        <f>'Sovereign Ratings (Moody''s,S&amp;P)'!A149</f>
        <v>Uganda</v>
      </c>
      <c r="B156" s="101" t="str">
        <f>VLOOKUP(A156,'Regional lookup table'!$A$2:$B$162,2,FALSE)</f>
        <v>Africa</v>
      </c>
      <c r="C156" s="9" t="str">
        <f>VLOOKUP(A156,'Sovereign Ratings (Moody''s,S&amp;P)'!$A$2:$D$158,4,FALSE)</f>
        <v>B3</v>
      </c>
      <c r="D156" s="21">
        <f t="shared" si="16"/>
        <v>6.1849989354559008E-2</v>
      </c>
      <c r="E156" s="21">
        <f t="shared" si="17"/>
        <v>0.14260141204291102</v>
      </c>
      <c r="F156" s="11">
        <f t="shared" si="18"/>
        <v>9.4901412042911026E-2</v>
      </c>
      <c r="G156" s="139" t="e">
        <f>VLOOKUP(A156,'10-year CDS Spreads'!$A$2:$D$158,4,FALSE)</f>
        <v>#N/A</v>
      </c>
      <c r="H156" s="11" t="e">
        <f t="shared" si="20"/>
        <v>#N/A</v>
      </c>
      <c r="I156" s="14" t="e">
        <f t="shared" si="19"/>
        <v>#N/A</v>
      </c>
    </row>
    <row r="157" spans="1:9" ht="16">
      <c r="A157" s="105" t="str">
        <f>'Sovereign Ratings (Moody''s,S&amp;P)'!A150</f>
        <v>Ukraine</v>
      </c>
      <c r="B157" s="101" t="str">
        <f>VLOOKUP(A157,'Regional lookup table'!$A$2:$B$162,2,FALSE)</f>
        <v>Eastern Europe &amp; Russia</v>
      </c>
      <c r="C157" s="9" t="str">
        <f>VLOOKUP(A157,'Sovereign Ratings (Moody''s,S&amp;P)'!$A$2:$D$158,4,FALSE)</f>
        <v>Ca</v>
      </c>
      <c r="D157" s="21">
        <f t="shared" si="16"/>
        <v>0.11419319915190733</v>
      </c>
      <c r="E157" s="21">
        <f t="shared" si="17"/>
        <v>0.22291580776819558</v>
      </c>
      <c r="F157" s="11">
        <f t="shared" si="18"/>
        <v>0.17521580776819559</v>
      </c>
      <c r="G157" s="139" t="str">
        <f>VLOOKUP(A157,'10-year CDS Spreads'!$A$2:$D$158,4,FALSE)</f>
        <v>NA</v>
      </c>
      <c r="H157" s="11" t="str">
        <f t="shared" ref="H157:H161" si="21">IF(I157="NA","NA",$E$3+I157)</f>
        <v>NA</v>
      </c>
      <c r="I157" s="14" t="str">
        <f t="shared" si="19"/>
        <v>NA</v>
      </c>
    </row>
    <row r="158" spans="1:9" ht="16">
      <c r="A158" s="105" t="str">
        <f>'Sovereign Ratings (Moody''s,S&amp;P)'!A151</f>
        <v>United Arab Emirates</v>
      </c>
      <c r="B158" s="101" t="str">
        <f>VLOOKUP(A158,'Regional lookup table'!$A$2:$B$162,2,FALSE)</f>
        <v>Middle East</v>
      </c>
      <c r="C158" s="9" t="str">
        <f>VLOOKUP(A158,'Sovereign Ratings (Moody''s,S&amp;P)'!$A$2:$D$158,4,FALSE)</f>
        <v>Aa2</v>
      </c>
      <c r="D158" s="21">
        <f t="shared" si="16"/>
        <v>4.6974675459158736E-3</v>
      </c>
      <c r="E158" s="21">
        <f t="shared" si="17"/>
        <v>5.4907702180474256E-2</v>
      </c>
      <c r="F158" s="11">
        <f t="shared" si="18"/>
        <v>7.2077021804742543E-3</v>
      </c>
      <c r="G158" s="139" t="e">
        <f>VLOOKUP(A158,'10-year CDS Spreads'!$A$2:$D$158,4,FALSE)</f>
        <v>#N/A</v>
      </c>
      <c r="H158" s="11" t="e">
        <f t="shared" si="21"/>
        <v>#N/A</v>
      </c>
      <c r="I158" s="14" t="e">
        <f t="shared" si="19"/>
        <v>#N/A</v>
      </c>
    </row>
    <row r="159" spans="1:9" ht="16">
      <c r="A159" s="105" t="str">
        <f>'Sovereign Ratings (Moody''s,S&amp;P)'!A152</f>
        <v>United Kingdom</v>
      </c>
      <c r="B159" s="101" t="str">
        <f>VLOOKUP(A159,'Regional lookup table'!$A$2:$B$162,2,FALSE)</f>
        <v>Western Europe</v>
      </c>
      <c r="C159" s="9" t="str">
        <f>VLOOKUP(A159,'Sovereign Ratings (Moody''s,S&amp;P)'!$A$2:$D$158,4,FALSE)</f>
        <v>Aa3</v>
      </c>
      <c r="D159" s="21">
        <f t="shared" si="16"/>
        <v>5.7040677343264193E-3</v>
      </c>
      <c r="E159" s="21">
        <f t="shared" si="17"/>
        <v>5.6452209790575886E-2</v>
      </c>
      <c r="F159" s="11">
        <f t="shared" si="18"/>
        <v>8.7522097905758829E-3</v>
      </c>
      <c r="G159" s="139">
        <f>VLOOKUP(A159,'10-year CDS Spreads'!$A$2:$D$158,4,FALSE)</f>
        <v>2.4999999999999996E-3</v>
      </c>
      <c r="H159" s="11">
        <f t="shared" si="21"/>
        <v>5.1535951025750489E-2</v>
      </c>
      <c r="I159" s="14">
        <f t="shared" si="19"/>
        <v>3.8359510257504901E-3</v>
      </c>
    </row>
    <row r="160" spans="1:9" ht="16">
      <c r="A160" s="105" t="str">
        <f>'Sovereign Ratings (Moody''s,S&amp;P)'!A153</f>
        <v>United States</v>
      </c>
      <c r="B160" s="101" t="str">
        <f>VLOOKUP(A160,'Regional lookup table'!$A$2:$B$162,2,FALSE)</f>
        <v>North America</v>
      </c>
      <c r="C160" s="9" t="str">
        <f>VLOOKUP(A160,'Sovereign Ratings (Moody''s,S&amp;P)'!$A$2:$D$158,4,FALSE)</f>
        <v>Aa1</v>
      </c>
      <c r="D160" s="21">
        <f t="shared" si="16"/>
        <v>2.6131717269259457E-3</v>
      </c>
      <c r="E160" s="21">
        <f>E4</f>
        <v>5.0299999999999997E-2</v>
      </c>
      <c r="F160" s="11">
        <f>IF($E$5="Yes",D160,D160)</f>
        <v>2.6131717269259457E-3</v>
      </c>
      <c r="G160" s="139">
        <f>VLOOKUP(A160,'10-year CDS Spreads'!$A$2:$D$158,4,FALSE)</f>
        <v>4.0000000000000001E-3</v>
      </c>
      <c r="H160" s="11">
        <f t="shared" si="21"/>
        <v>5.3837521641200786E-2</v>
      </c>
      <c r="I160" s="14">
        <f t="shared" si="19"/>
        <v>6.1375216412007851E-3</v>
      </c>
    </row>
    <row r="161" spans="1:9" ht="16">
      <c r="A161" s="105" t="str">
        <f>'Sovereign Ratings (Moody''s,S&amp;P)'!A154</f>
        <v>Uruguay</v>
      </c>
      <c r="B161" s="101" t="str">
        <f>VLOOKUP(A161,'Regional lookup table'!$A$2:$B$162,2,FALSE)</f>
        <v>Central and South America</v>
      </c>
      <c r="C161" s="9" t="str">
        <f>VLOOKUP(A161,'Sovereign Ratings (Moody''s,S&amp;P)'!$A$2:$D$158,4,FALSE)</f>
        <v>Baa1</v>
      </c>
      <c r="D161" s="21">
        <f t="shared" si="16"/>
        <v>1.5210847291537115E-2</v>
      </c>
      <c r="E161" s="21">
        <f t="shared" si="17"/>
        <v>7.1039226108202347E-2</v>
      </c>
      <c r="F161" s="11">
        <f t="shared" si="18"/>
        <v>2.3339226108202347E-2</v>
      </c>
      <c r="G161" s="139">
        <f>VLOOKUP(A161,'10-year CDS Spreads'!$A$2:$D$158,4,FALSE)</f>
        <v>8.6E-3</v>
      </c>
      <c r="H161" s="112">
        <f t="shared" si="21"/>
        <v>6.0895671528581691E-2</v>
      </c>
      <c r="I161" s="113">
        <f t="shared" si="19"/>
        <v>1.3195671528581688E-2</v>
      </c>
    </row>
    <row r="162" spans="1:9" ht="16">
      <c r="A162" s="105" t="str">
        <f>'Sovereign Ratings (Moody''s,S&amp;P)'!A155</f>
        <v>Uzbekistan</v>
      </c>
      <c r="B162" s="101" t="str">
        <f>VLOOKUP(A162,'Regional lookup table'!$A$2:$B$162,2,FALSE)</f>
        <v>Eastern Europe &amp; Russia</v>
      </c>
      <c r="C162" s="9" t="str">
        <f>VLOOKUP(A162,'Sovereign Ratings (Moody''s,S&amp;P)'!$A$2:$D$158,4,FALSE)</f>
        <v>Ba3</v>
      </c>
      <c r="D162" s="21">
        <f t="shared" si="16"/>
        <v>3.4224406405958516E-2</v>
      </c>
      <c r="E162" s="21">
        <f t="shared" si="17"/>
        <v>0.1002132587434553</v>
      </c>
      <c r="F162" s="11">
        <f t="shared" ref="F162:F165" si="22">IF($E$5="Yes",D162*$E$6,D162)</f>
        <v>5.2513258743455297E-2</v>
      </c>
      <c r="G162" s="139" t="e">
        <f>VLOOKUP(A162,'10-year CDS Spreads'!$A$2:$D$158,4,FALSE)</f>
        <v>#N/A</v>
      </c>
      <c r="H162" s="112" t="e">
        <f t="shared" ref="H162:H165" si="23">IF(I162="NA","NA",$E$3+I162)</f>
        <v>#N/A</v>
      </c>
      <c r="I162" s="113" t="e">
        <f t="shared" ref="I162:I165" si="24">IF(G162="NA","NA",G162*$E$6)</f>
        <v>#N/A</v>
      </c>
    </row>
    <row r="163" spans="1:9" ht="16">
      <c r="A163" s="105" t="str">
        <f>'Sovereign Ratings (Moody''s,S&amp;P)'!A156</f>
        <v>Venezuela</v>
      </c>
      <c r="B163" s="101" t="str">
        <f>VLOOKUP(A163,'Regional lookup table'!$A$2:$B$162,2,FALSE)</f>
        <v>Central and South America</v>
      </c>
      <c r="C163" s="9" t="str">
        <f>VLOOKUP(A163,'Sovereign Ratings (Moody''s,S&amp;P)'!$A$2:$D$158,4,FALSE)</f>
        <v>C</v>
      </c>
      <c r="D163" s="21">
        <f t="shared" si="16"/>
        <v>0.17499999999999999</v>
      </c>
      <c r="E163" s="21">
        <f t="shared" si="17"/>
        <v>0.31621657180253437</v>
      </c>
      <c r="F163" s="11">
        <f t="shared" si="22"/>
        <v>0.26851657180253435</v>
      </c>
      <c r="G163" s="139" t="str">
        <f>VLOOKUP(A163,'10-year CDS Spreads'!$A$2:$D$158,4,FALSE)</f>
        <v>NA</v>
      </c>
      <c r="H163" s="112" t="str">
        <f t="shared" si="23"/>
        <v>NA</v>
      </c>
      <c r="I163" s="113" t="str">
        <f t="shared" si="24"/>
        <v>NA</v>
      </c>
    </row>
    <row r="164" spans="1:9" ht="16">
      <c r="A164" s="105" t="str">
        <f>'Sovereign Ratings (Moody''s,S&amp;P)'!A157</f>
        <v>Vietnam</v>
      </c>
      <c r="B164" s="101" t="str">
        <f>VLOOKUP(A164,'Regional lookup table'!$A$2:$B$162,2,FALSE)</f>
        <v>Asia</v>
      </c>
      <c r="C164" s="9" t="str">
        <f>VLOOKUP(A164,'Sovereign Ratings (Moody''s,S&amp;P)'!$A$2:$D$158,4,FALSE)</f>
        <v>Ba2</v>
      </c>
      <c r="D164" s="21">
        <f t="shared" si="16"/>
        <v>2.863218313701105E-2</v>
      </c>
      <c r="E164" s="21">
        <f t="shared" si="17"/>
        <v>9.1632660909557379E-2</v>
      </c>
      <c r="F164" s="11">
        <f t="shared" si="22"/>
        <v>4.3932660909557379E-2</v>
      </c>
      <c r="G164" s="139">
        <f>VLOOKUP(A164,'10-year CDS Spreads'!$A$2:$D$158,4,FALSE)</f>
        <v>1.4200000000000001E-2</v>
      </c>
      <c r="H164" s="112">
        <f t="shared" si="23"/>
        <v>6.9488201826262794E-2</v>
      </c>
      <c r="I164" s="113">
        <f t="shared" si="24"/>
        <v>2.1788201826262791E-2</v>
      </c>
    </row>
    <row r="165" spans="1:9" ht="16">
      <c r="A165" s="105" t="str">
        <f>'Sovereign Ratings (Moody''s,S&amp;P)'!A158</f>
        <v>Zambia</v>
      </c>
      <c r="B165" s="101" t="str">
        <f>VLOOKUP(A165,'Regional lookup table'!$A$2:$B$162,2,FALSE)</f>
        <v>Africa</v>
      </c>
      <c r="C165" s="9" t="str">
        <f>VLOOKUP(A165,'Sovereign Ratings (Moody''s,S&amp;P)'!$A$2:$D$158,4,FALSE)</f>
        <v>Caa2</v>
      </c>
      <c r="D165" s="21">
        <f t="shared" si="16"/>
        <v>8.5672860480275226E-2</v>
      </c>
      <c r="E165" s="21">
        <f t="shared" si="17"/>
        <v>0.17915475881531617</v>
      </c>
      <c r="F165" s="11">
        <f t="shared" si="22"/>
        <v>0.13145475881531618</v>
      </c>
      <c r="G165" s="139">
        <f>VLOOKUP(A165,'10-year CDS Spreads'!$A$2:$D$158,4,FALSE)</f>
        <v>4.9599999999999998E-2</v>
      </c>
      <c r="H165" s="112">
        <f t="shared" si="23"/>
        <v>0.12380526835088973</v>
      </c>
      <c r="I165" s="113">
        <f t="shared" si="24"/>
        <v>7.6105268350889738E-2</v>
      </c>
    </row>
    <row r="166" spans="1:9" ht="16">
      <c r="A166" s="244" t="s">
        <v>362</v>
      </c>
      <c r="B166" s="244"/>
      <c r="C166" s="244"/>
      <c r="D166" s="244"/>
      <c r="E166" s="244"/>
      <c r="F166" s="27"/>
      <c r="G166" s="27"/>
      <c r="H166" s="27"/>
      <c r="I166" s="27"/>
    </row>
    <row r="167" spans="1:9" ht="16">
      <c r="A167" s="103" t="s">
        <v>75</v>
      </c>
      <c r="B167" s="103" t="s">
        <v>363</v>
      </c>
      <c r="C167" s="95" t="s">
        <v>304</v>
      </c>
      <c r="D167" s="95" t="s">
        <v>364</v>
      </c>
      <c r="E167" s="95" t="s">
        <v>305</v>
      </c>
      <c r="F167" s="98"/>
      <c r="G167" s="98"/>
      <c r="H167" s="98"/>
      <c r="I167" s="98"/>
    </row>
    <row r="168" spans="1:9" ht="16">
      <c r="A168" s="46" t="str">
        <f>'PRS Worksheet'!A162</f>
        <v>Algeria</v>
      </c>
      <c r="B168" s="56">
        <f>'PRS Worksheet'!B162</f>
        <v>67</v>
      </c>
      <c r="C168" s="92">
        <f>'PRS Worksheet'!E162</f>
        <v>0.1134273794076581</v>
      </c>
      <c r="D168" s="57">
        <f>'PRS Worksheet'!G162</f>
        <v>6.5727379407658104E-2</v>
      </c>
      <c r="E168" s="57">
        <f>'PRS Worksheet'!D162</f>
        <v>4.283643024013762E-2</v>
      </c>
      <c r="F168" s="27"/>
      <c r="G168" s="27"/>
      <c r="H168" s="27"/>
    </row>
    <row r="169" spans="1:9" ht="16">
      <c r="A169" s="46" t="str">
        <f>'PRS Worksheet'!A163</f>
        <v>Brunei</v>
      </c>
      <c r="B169" s="56">
        <f>'PRS Worksheet'!B163</f>
        <v>80.75</v>
      </c>
      <c r="C169" s="92">
        <f>'PRS Worksheet'!E163</f>
        <v>5.6452209790575886E-2</v>
      </c>
      <c r="D169" s="57">
        <f>'PRS Worksheet'!G163</f>
        <v>8.7522097905758864E-3</v>
      </c>
      <c r="E169" s="57">
        <f>'PRS Worksheet'!D163</f>
        <v>5.7040677343264219E-3</v>
      </c>
      <c r="F169" s="27"/>
      <c r="G169" s="27"/>
      <c r="H169" s="27"/>
    </row>
    <row r="170" spans="1:9" ht="16">
      <c r="A170" s="46" t="str">
        <f>'PRS Worksheet'!A164</f>
        <v>Gambia</v>
      </c>
      <c r="B170" s="56">
        <f>'PRS Worksheet'!B164</f>
        <v>65.5</v>
      </c>
      <c r="C170" s="92">
        <f>'PRS Worksheet'!E164</f>
        <v>0.12801439572528456</v>
      </c>
      <c r="D170" s="57">
        <f>'PRS Worksheet'!G164</f>
        <v>8.0314395725284565E-2</v>
      </c>
      <c r="E170" s="57">
        <f>'PRS Worksheet'!D164</f>
        <v>5.2343209797348314E-2</v>
      </c>
      <c r="F170" s="27"/>
      <c r="G170" s="27"/>
      <c r="H170" s="27"/>
    </row>
    <row r="171" spans="1:9" ht="16">
      <c r="A171" s="46" t="str">
        <f>'PRS Worksheet'!A165</f>
        <v>Guinea</v>
      </c>
      <c r="B171" s="56">
        <f>'PRS Worksheet'!B165</f>
        <v>59.5</v>
      </c>
      <c r="C171" s="92">
        <f>'PRS Worksheet'!E165</f>
        <v>0.17915475881531617</v>
      </c>
      <c r="D171" s="57">
        <f>'PRS Worksheet'!G165</f>
        <v>0.13145475881531618</v>
      </c>
      <c r="E171" s="57">
        <f>'PRS Worksheet'!D165</f>
        <v>8.5672860480275226E-2</v>
      </c>
      <c r="F171" s="27"/>
      <c r="G171" s="27"/>
      <c r="H171" s="27"/>
    </row>
    <row r="172" spans="1:9" ht="16">
      <c r="A172" s="46" t="str">
        <f>'PRS Worksheet'!A166</f>
        <v>Guinea-Bissau</v>
      </c>
      <c r="B172" s="56">
        <f>'PRS Worksheet'!B166</f>
        <v>60.75</v>
      </c>
      <c r="C172" s="92">
        <f>'PRS Worksheet'!E166</f>
        <v>0.15718842836053751</v>
      </c>
      <c r="D172" s="57">
        <f>'PRS Worksheet'!G166</f>
        <v>0.10948842836053752</v>
      </c>
      <c r="E172" s="57">
        <f>'PRS Worksheet'!D166</f>
        <v>7.1356768911769716E-2</v>
      </c>
      <c r="F172" s="27"/>
      <c r="G172" s="27"/>
      <c r="H172" s="27"/>
    </row>
    <row r="173" spans="1:9" ht="16">
      <c r="A173" s="46" t="str">
        <f>'PRS Worksheet'!A167</f>
        <v>Guyana</v>
      </c>
      <c r="B173" s="56">
        <f>'PRS Worksheet'!B167</f>
        <v>75.5</v>
      </c>
      <c r="C173" s="92">
        <f>'PRS Worksheet'!E167</f>
        <v>7.1039226108202347E-2</v>
      </c>
      <c r="D173" s="57">
        <f>'PRS Worksheet'!G167</f>
        <v>2.3339226108202347E-2</v>
      </c>
      <c r="E173" s="57">
        <f>'PRS Worksheet'!D167</f>
        <v>1.5210847291537113E-2</v>
      </c>
      <c r="F173" s="27"/>
      <c r="G173" s="27"/>
      <c r="H173" s="27"/>
    </row>
    <row r="174" spans="1:9" ht="16">
      <c r="A174" s="46" t="str">
        <f>'PRS Worksheet'!A168</f>
        <v>Haiti</v>
      </c>
      <c r="B174" s="56">
        <f>'PRS Worksheet'!B168</f>
        <v>56.75</v>
      </c>
      <c r="C174" s="92">
        <f>'PRS Worksheet'!E168</f>
        <v>0.19374177513294266</v>
      </c>
      <c r="D174" s="57">
        <f>'PRS Worksheet'!G168</f>
        <v>0.14604177513294267</v>
      </c>
      <c r="E174" s="57">
        <f>'PRS Worksheet'!D168</f>
        <v>9.5179640037485941E-2</v>
      </c>
      <c r="F174" s="27"/>
      <c r="G174" s="27"/>
      <c r="H174" s="27"/>
    </row>
    <row r="175" spans="1:9" ht="16">
      <c r="A175" s="46" t="str">
        <f>'PRS Worksheet'!A169</f>
        <v>Iran</v>
      </c>
      <c r="B175" s="56">
        <f>'PRS Worksheet'!B169</f>
        <v>61.25</v>
      </c>
      <c r="C175" s="92">
        <f>'PRS Worksheet'!E169</f>
        <v>0.15718842836053751</v>
      </c>
      <c r="D175" s="57">
        <f>'PRS Worksheet'!G169</f>
        <v>0.10948842836053752</v>
      </c>
      <c r="E175" s="57">
        <f>'PRS Worksheet'!D169</f>
        <v>7.1356768911769716E-2</v>
      </c>
      <c r="F175" s="27"/>
      <c r="G175" s="27"/>
      <c r="H175" s="27"/>
    </row>
    <row r="176" spans="1:9" ht="16">
      <c r="A176" s="46" t="str">
        <f>'PRS Worksheet'!A170</f>
        <v>Korea, D.P.R.</v>
      </c>
      <c r="B176" s="56">
        <f>'PRS Worksheet'!B170</f>
        <v>51</v>
      </c>
      <c r="C176" s="92">
        <f>'PRS Worksheet'!E170</f>
        <v>0.22291580776819558</v>
      </c>
      <c r="D176" s="57">
        <f>'PRS Worksheet'!G170</f>
        <v>0.17521580776819559</v>
      </c>
      <c r="E176" s="57">
        <f>'PRS Worksheet'!D170</f>
        <v>0.11419319915190733</v>
      </c>
      <c r="F176" s="27"/>
      <c r="G176" s="27"/>
      <c r="H176" s="27"/>
    </row>
    <row r="177" spans="1:8" ht="16">
      <c r="A177" s="46" t="str">
        <f>'PRS Worksheet'!A171</f>
        <v>Liberia</v>
      </c>
      <c r="B177" s="56">
        <f>'PRS Worksheet'!B171</f>
        <v>57.75</v>
      </c>
      <c r="C177" s="92">
        <f>'PRS Worksheet'!E171</f>
        <v>0.17915475881531617</v>
      </c>
      <c r="D177" s="57">
        <f>'PRS Worksheet'!G171</f>
        <v>0.13145475881531618</v>
      </c>
      <c r="E177" s="57">
        <f>'PRS Worksheet'!D171</f>
        <v>8.5672860480275226E-2</v>
      </c>
      <c r="F177" s="27"/>
      <c r="G177" s="27"/>
      <c r="H177" s="27"/>
    </row>
    <row r="178" spans="1:8" ht="16">
      <c r="A178" s="46" t="str">
        <f>'PRS Worksheet'!A172</f>
        <v>Libya</v>
      </c>
      <c r="B178" s="56">
        <f>'PRS Worksheet'!B172</f>
        <v>71.5</v>
      </c>
      <c r="C178" s="92">
        <f>'PRS Worksheet'!E172</f>
        <v>9.1632660909557379E-2</v>
      </c>
      <c r="D178" s="57">
        <f>'PRS Worksheet'!G172</f>
        <v>4.3932660909557379E-2</v>
      </c>
      <c r="E178" s="57">
        <f>'PRS Worksheet'!D172</f>
        <v>2.863218313701105E-2</v>
      </c>
      <c r="F178" s="27"/>
      <c r="G178" s="27"/>
      <c r="H178" s="27"/>
    </row>
    <row r="179" spans="1:8" ht="16">
      <c r="A179" s="46" t="str">
        <f>'PRS Worksheet'!A173</f>
        <v>Madagascar</v>
      </c>
      <c r="B179" s="56">
        <f>'PRS Worksheet'!B173</f>
        <v>62.5</v>
      </c>
      <c r="C179" s="92">
        <f>'PRS Worksheet'!E173</f>
        <v>0.14260141204291102</v>
      </c>
      <c r="D179" s="57">
        <f>'PRS Worksheet'!G173</f>
        <v>9.4901412042911026E-2</v>
      </c>
      <c r="E179" s="57">
        <f>'PRS Worksheet'!D173</f>
        <v>6.1849989354559008E-2</v>
      </c>
      <c r="F179" s="27"/>
      <c r="G179" s="27"/>
      <c r="H179" s="27"/>
    </row>
    <row r="180" spans="1:8" ht="16">
      <c r="A180" s="46" t="str">
        <f>'PRS Worksheet'!A174</f>
        <v>Malawi</v>
      </c>
      <c r="B180" s="56">
        <f>'PRS Worksheet'!B174</f>
        <v>56</v>
      </c>
      <c r="C180" s="92">
        <f>'PRS Worksheet'!E174</f>
        <v>0.19374177513294266</v>
      </c>
      <c r="D180" s="57">
        <f>'PRS Worksheet'!G174</f>
        <v>0.14604177513294267</v>
      </c>
      <c r="E180" s="57">
        <f>'PRS Worksheet'!D174</f>
        <v>9.5179640037485941E-2</v>
      </c>
      <c r="F180" s="27"/>
      <c r="G180" s="27"/>
      <c r="H180" s="27"/>
    </row>
    <row r="181" spans="1:8" ht="16">
      <c r="A181" s="46" t="str">
        <f>'PRS Worksheet'!A175</f>
        <v>Myanmar</v>
      </c>
      <c r="B181" s="56">
        <f>'PRS Worksheet'!B175</f>
        <v>54.75</v>
      </c>
      <c r="C181" s="92">
        <f>'PRS Worksheet'!E175</f>
        <v>0.22291580776819558</v>
      </c>
      <c r="D181" s="57">
        <f>'PRS Worksheet'!G175</f>
        <v>0.17521580776819559</v>
      </c>
      <c r="E181" s="57">
        <f>'PRS Worksheet'!D175</f>
        <v>0.11419319915190733</v>
      </c>
      <c r="F181" s="27"/>
      <c r="G181" s="27"/>
      <c r="H181" s="27"/>
    </row>
    <row r="182" spans="1:8" ht="16">
      <c r="A182" s="46" t="str">
        <f>'PRS Worksheet'!A176</f>
        <v>Russia</v>
      </c>
      <c r="B182" s="56">
        <f>'PRS Worksheet'!B176</f>
        <v>70.25</v>
      </c>
      <c r="C182" s="92">
        <f>'PRS Worksheet'!E176</f>
        <v>9.1632660909557379E-2</v>
      </c>
      <c r="D182" s="57">
        <f>'PRS Worksheet'!G176</f>
        <v>4.3932660909557379E-2</v>
      </c>
      <c r="E182" s="57">
        <f>'PRS Worksheet'!D176</f>
        <v>2.863218313701105E-2</v>
      </c>
      <c r="F182" s="27"/>
      <c r="G182" s="27"/>
      <c r="H182" s="27"/>
    </row>
    <row r="183" spans="1:8" ht="16">
      <c r="A183" s="46" t="str">
        <f>'PRS Worksheet'!A177</f>
        <v>Sierra Leone</v>
      </c>
      <c r="B183" s="56">
        <f>'PRS Worksheet'!B177</f>
        <v>62.75</v>
      </c>
      <c r="C183" s="92">
        <f>'PRS Worksheet'!E177</f>
        <v>0.14260141204291102</v>
      </c>
      <c r="D183" s="57">
        <f>'PRS Worksheet'!G177</f>
        <v>9.4901412042911026E-2</v>
      </c>
      <c r="E183" s="57">
        <f>'PRS Worksheet'!D177</f>
        <v>6.1849989354559008E-2</v>
      </c>
      <c r="F183" s="27"/>
      <c r="G183" s="27"/>
      <c r="H183" s="27"/>
    </row>
    <row r="184" spans="1:8" ht="16">
      <c r="A184" s="46" t="str">
        <f>'PRS Worksheet'!A178</f>
        <v>Somalia</v>
      </c>
      <c r="B184" s="56">
        <f>'PRS Worksheet'!B178</f>
        <v>55.5</v>
      </c>
      <c r="C184" s="92">
        <f>'PRS Worksheet'!E178</f>
        <v>0.19374177513294266</v>
      </c>
      <c r="D184" s="57">
        <f>'PRS Worksheet'!G178</f>
        <v>0.14604177513294267</v>
      </c>
      <c r="E184" s="57">
        <f>'PRS Worksheet'!D178</f>
        <v>9.5179640037485941E-2</v>
      </c>
      <c r="F184" s="27"/>
      <c r="G184" s="27"/>
      <c r="H184" s="27"/>
    </row>
    <row r="185" spans="1:8" ht="16">
      <c r="A185" s="46" t="str">
        <f>'PRS Worksheet'!A179</f>
        <v>Sudan</v>
      </c>
      <c r="B185" s="56">
        <f>'PRS Worksheet'!B179</f>
        <v>47.75</v>
      </c>
      <c r="C185" s="92">
        <f>'PRS Worksheet'!E179</f>
        <v>0.31621657180253437</v>
      </c>
      <c r="D185" s="57">
        <f>'PRS Worksheet'!G179</f>
        <v>0.26851657180253435</v>
      </c>
      <c r="E185" s="57">
        <f>'PRS Worksheet'!D179</f>
        <v>0.17499999999999999</v>
      </c>
      <c r="F185" s="27"/>
      <c r="G185" s="27"/>
      <c r="H185" s="27"/>
    </row>
    <row r="186" spans="1:8" ht="16">
      <c r="A186" s="46" t="str">
        <f>'PRS Worksheet'!A180</f>
        <v>Syria</v>
      </c>
      <c r="B186" s="56">
        <f>'PRS Worksheet'!B180</f>
        <v>51.5</v>
      </c>
      <c r="C186" s="92">
        <f>'PRS Worksheet'!E180</f>
        <v>0.22291580776819558</v>
      </c>
      <c r="D186" s="57">
        <f>'PRS Worksheet'!G180</f>
        <v>0.17521580776819559</v>
      </c>
      <c r="E186" s="57">
        <f>'PRS Worksheet'!D180</f>
        <v>0.11419319915190733</v>
      </c>
      <c r="F186" s="27"/>
      <c r="G186" s="27"/>
      <c r="H186" s="27"/>
    </row>
    <row r="187" spans="1:8" ht="16">
      <c r="A187" s="46" t="str">
        <f>'PRS Worksheet'!A182</f>
        <v>Yemen, Republic</v>
      </c>
      <c r="B187" s="56">
        <f>'PRS Worksheet'!B182</f>
        <v>51.75</v>
      </c>
      <c r="C187" s="92">
        <f>'PRS Worksheet'!E182</f>
        <v>0.22291580776819558</v>
      </c>
      <c r="D187" s="57">
        <f>'PRS Worksheet'!G182</f>
        <v>0.17521580776819559</v>
      </c>
      <c r="E187" s="57">
        <f>'PRS Worksheet'!D182</f>
        <v>0.11419319915190733</v>
      </c>
      <c r="F187" s="27"/>
      <c r="G187" s="27"/>
      <c r="H187" s="27"/>
    </row>
    <row r="188" spans="1:8" ht="16">
      <c r="A188" s="46" t="str">
        <f>'PRS Worksheet'!A183</f>
        <v>Zimbabwe</v>
      </c>
      <c r="B188" s="56">
        <f>'PRS Worksheet'!B183</f>
        <v>58.5</v>
      </c>
      <c r="C188" s="92">
        <f>'PRS Worksheet'!E183</f>
        <v>0.17915475881531617</v>
      </c>
      <c r="D188" s="57">
        <f>'PRS Worksheet'!G183</f>
        <v>0.13145475881531618</v>
      </c>
      <c r="E188" s="57">
        <f>'PRS Worksheet'!D183</f>
        <v>8.5672860480275226E-2</v>
      </c>
      <c r="F188" s="27"/>
      <c r="G188" s="27"/>
      <c r="H188" s="27"/>
    </row>
    <row r="189" spans="1:8" ht="16">
      <c r="A189" s="90"/>
      <c r="B189" s="104"/>
      <c r="C189" s="91"/>
      <c r="D189" s="26"/>
      <c r="E189" s="27"/>
    </row>
    <row r="190" spans="1:8">
      <c r="B190" s="17" t="s">
        <v>39</v>
      </c>
      <c r="C190" s="17" t="s">
        <v>40</v>
      </c>
    </row>
    <row r="191" spans="1:8">
      <c r="B191" s="4" t="s">
        <v>41</v>
      </c>
      <c r="C191" s="122">
        <f>'Default Spreads for Ratings'!C2</f>
        <v>67.106679227369654</v>
      </c>
    </row>
    <row r="192" spans="1:8">
      <c r="B192" s="4" t="s">
        <v>42</v>
      </c>
      <c r="C192" s="122">
        <f>'Default Spreads for Ratings'!C3</f>
        <v>80.528015072843559</v>
      </c>
    </row>
    <row r="193" spans="2:3">
      <c r="B193" s="4" t="s">
        <v>43</v>
      </c>
      <c r="C193" s="122">
        <f>'Default Spreads for Ratings'!C4</f>
        <v>114.08135468652839</v>
      </c>
    </row>
    <row r="194" spans="2:3">
      <c r="B194" s="4" t="s">
        <v>44</v>
      </c>
      <c r="C194" s="122">
        <f>'Default Spreads for Ratings'!C5</f>
        <v>26.131717269259457</v>
      </c>
    </row>
    <row r="195" spans="2:3">
      <c r="B195" s="4" t="s">
        <v>45</v>
      </c>
      <c r="C195" s="122">
        <f>'Default Spreads for Ratings'!C6</f>
        <v>46.974675459158739</v>
      </c>
    </row>
    <row r="196" spans="2:3">
      <c r="B196" s="4" t="s">
        <v>46</v>
      </c>
      <c r="C196" s="122">
        <f>'Default Spreads for Ratings'!C7</f>
        <v>57.040677343264193</v>
      </c>
    </row>
    <row r="197" spans="2:3">
      <c r="B197" s="4" t="s">
        <v>47</v>
      </c>
      <c r="C197" s="122">
        <f>'Default Spreads for Ratings'!C8</f>
        <v>0</v>
      </c>
    </row>
    <row r="198" spans="2:3">
      <c r="B198" s="4" t="s">
        <v>48</v>
      </c>
      <c r="C198" s="122">
        <f>'Default Spreads for Ratings'!C9</f>
        <v>428.36430240137611</v>
      </c>
    </row>
    <row r="199" spans="2:3">
      <c r="B199" s="4" t="s">
        <v>49</v>
      </c>
      <c r="C199" s="122">
        <f>'Default Spreads for Ratings'!C10</f>
        <v>523.43209797348311</v>
      </c>
    </row>
    <row r="200" spans="2:3">
      <c r="B200" s="4" t="s">
        <v>78</v>
      </c>
      <c r="C200" s="122">
        <f>'Default Spreads for Ratings'!C11</f>
        <v>618.49989354559011</v>
      </c>
    </row>
    <row r="201" spans="2:3">
      <c r="B201" s="4" t="s">
        <v>79</v>
      </c>
      <c r="C201" s="122">
        <f>'Default Spreads for Ratings'!C12</f>
        <v>238.22871125716225</v>
      </c>
    </row>
    <row r="202" spans="2:3">
      <c r="B202" s="4" t="s">
        <v>80</v>
      </c>
      <c r="C202" s="122">
        <f>'Default Spreads for Ratings'!C13</f>
        <v>286.32183137011049</v>
      </c>
    </row>
    <row r="203" spans="2:3">
      <c r="B203" s="4" t="s">
        <v>81</v>
      </c>
      <c r="C203" s="122">
        <f>'Default Spreads for Ratings'!C14</f>
        <v>342.24406405958513</v>
      </c>
    </row>
    <row r="204" spans="2:3">
      <c r="B204" s="4" t="s">
        <v>82</v>
      </c>
      <c r="C204" s="122">
        <f>'Default Spreads for Ratings'!C15</f>
        <v>152.10847291537115</v>
      </c>
    </row>
    <row r="205" spans="2:3">
      <c r="B205" s="4" t="s">
        <v>83</v>
      </c>
      <c r="C205" s="122">
        <f>'Default Spreads for Ratings'!C16</f>
        <v>181.18803391389804</v>
      </c>
    </row>
    <row r="206" spans="2:3">
      <c r="B206" s="4" t="s">
        <v>124</v>
      </c>
      <c r="C206" s="122">
        <f>'Default Spreads for Ratings'!C17</f>
        <v>209.14915025863539</v>
      </c>
    </row>
    <row r="207" spans="2:3">
      <c r="B207" s="4" t="s">
        <v>137</v>
      </c>
      <c r="C207" s="122">
        <v>1750</v>
      </c>
    </row>
    <row r="208" spans="2:3">
      <c r="B208" s="4" t="s">
        <v>335</v>
      </c>
      <c r="C208" s="122">
        <f>'Default Spreads for Ratings'!C18</f>
        <v>1141.9319915190733</v>
      </c>
    </row>
    <row r="209" spans="2:3">
      <c r="B209" s="4" t="s">
        <v>100</v>
      </c>
      <c r="C209" s="122">
        <f>'Default Spreads for Ratings'!C19</f>
        <v>713.56768911769711</v>
      </c>
    </row>
    <row r="210" spans="2:3">
      <c r="B210" s="4" t="s">
        <v>58</v>
      </c>
      <c r="C210" s="122">
        <f>'Default Spreads for Ratings'!C20</f>
        <v>856.72860480275222</v>
      </c>
    </row>
    <row r="211" spans="2:3">
      <c r="B211" s="4" t="s">
        <v>62</v>
      </c>
      <c r="C211" s="122">
        <f>'Default Spreads for Ratings'!C21</f>
        <v>951.79640037485945</v>
      </c>
    </row>
    <row r="212" spans="2:3">
      <c r="B212" s="4" t="s">
        <v>272</v>
      </c>
      <c r="C212" s="4" t="s">
        <v>143</v>
      </c>
    </row>
  </sheetData>
  <mergeCells count="1">
    <mergeCell ref="A166:E166"/>
  </mergeCells>
  <phoneticPr fontId="11"/>
  <pageMargins left="0.75" right="0.75" top="1" bottom="1" header="0.5" footer="0.5"/>
  <pageSetup orientation="landscape" horizontalDpi="4294967292" verticalDpi="4294967292"/>
  <headerFooter alignWithMargins="0"/>
  <legacy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19"/>
  <sheetViews>
    <sheetView topLeftCell="A7" workbookViewId="0">
      <selection activeCell="C7" sqref="C7"/>
    </sheetView>
  </sheetViews>
  <sheetFormatPr baseColWidth="10" defaultRowHeight="13"/>
  <cols>
    <col min="1" max="1" width="31.33203125" customWidth="1"/>
    <col min="2" max="2" width="12.5" bestFit="1" customWidth="1"/>
    <col min="3" max="3" width="15.5" customWidth="1"/>
    <col min="4" max="4" width="8" bestFit="1" customWidth="1"/>
    <col min="6" max="6" width="20" customWidth="1"/>
    <col min="15" max="15" width="13.5" customWidth="1"/>
  </cols>
  <sheetData>
    <row r="1" spans="1:19" ht="13" customHeight="1">
      <c r="A1" s="4" t="s">
        <v>289</v>
      </c>
      <c r="B1" s="4" t="s">
        <v>494</v>
      </c>
      <c r="C1" s="4" t="s">
        <v>518</v>
      </c>
      <c r="D1" s="4" t="s">
        <v>495</v>
      </c>
      <c r="J1" s="245" t="s">
        <v>545</v>
      </c>
      <c r="K1" s="246"/>
      <c r="L1" s="246"/>
      <c r="M1" s="246"/>
      <c r="N1" s="246"/>
      <c r="O1" s="246"/>
      <c r="P1" s="246"/>
      <c r="Q1" s="246"/>
      <c r="R1" s="246"/>
      <c r="S1" s="247"/>
    </row>
    <row r="2" spans="1:19" ht="13" customHeight="1">
      <c r="A2" s="4" t="s">
        <v>650</v>
      </c>
      <c r="B2" s="72">
        <f>STDEV(I15:I276)*(261^0.5)</f>
        <v>0.1608895346798252</v>
      </c>
      <c r="C2" s="72">
        <f>STDEV(C15:C268)*(252^0.5)</f>
        <v>8.0537127585857335E-2</v>
      </c>
      <c r="D2" s="162">
        <f t="shared" ref="D2:D6" si="0">B2/C2</f>
        <v>1.9977063933439574</v>
      </c>
      <c r="E2" s="23"/>
      <c r="F2" s="177"/>
      <c r="J2" s="248"/>
      <c r="K2" s="249"/>
      <c r="L2" s="249"/>
      <c r="M2" s="249"/>
      <c r="N2" s="249"/>
      <c r="O2" s="249"/>
      <c r="P2" s="249"/>
      <c r="Q2" s="249"/>
      <c r="R2" s="249"/>
      <c r="S2" s="250"/>
    </row>
    <row r="3" spans="1:19" ht="13" customHeight="1">
      <c r="A3" s="4" t="s">
        <v>651</v>
      </c>
      <c r="B3" s="72">
        <f>STDEV(I277:I537)*(259^0.5)</f>
        <v>0.15903492397356719</v>
      </c>
      <c r="C3" s="72">
        <f>STDEV(C269:C519)*(250^0.5)</f>
        <v>0.15298595006318458</v>
      </c>
      <c r="D3" s="162">
        <f t="shared" si="0"/>
        <v>1.039539408082143</v>
      </c>
      <c r="E3" s="23"/>
      <c r="J3" s="248"/>
      <c r="K3" s="249"/>
      <c r="L3" s="249"/>
      <c r="M3" s="249"/>
      <c r="N3" s="249"/>
      <c r="O3" s="249"/>
      <c r="P3" s="249"/>
      <c r="Q3" s="249"/>
      <c r="R3" s="249"/>
      <c r="S3" s="250"/>
    </row>
    <row r="4" spans="1:19" ht="13" customHeight="1">
      <c r="A4" s="4" t="s">
        <v>652</v>
      </c>
      <c r="B4" s="72">
        <f>STDEV(I538:I797)*(259^0.5)</f>
        <v>0.10688518278425126</v>
      </c>
      <c r="C4" s="72">
        <f>STDEV(C520:C768)*(249^0.5)</f>
        <v>8.7054443499659143E-2</v>
      </c>
      <c r="D4" s="162">
        <f t="shared" si="0"/>
        <v>1.2277969795380952</v>
      </c>
      <c r="E4" s="79"/>
      <c r="F4" s="216"/>
      <c r="J4" s="248"/>
      <c r="K4" s="249"/>
      <c r="L4" s="249"/>
      <c r="M4" s="249"/>
      <c r="N4" s="249"/>
      <c r="O4" s="249"/>
      <c r="P4" s="249"/>
      <c r="Q4" s="249"/>
      <c r="R4" s="249"/>
      <c r="S4" s="250"/>
    </row>
    <row r="5" spans="1:19" ht="14" customHeight="1">
      <c r="A5" s="4" t="s">
        <v>653</v>
      </c>
      <c r="B5" s="72">
        <f>STDEV(I798:I1058)*(261^0.5)</f>
        <v>0.1262934741761563</v>
      </c>
      <c r="C5" s="72">
        <f>STDEV(C769:C1019)*(251^0.5)</f>
        <v>7.047231278398508E-2</v>
      </c>
      <c r="D5" s="162">
        <f t="shared" si="0"/>
        <v>1.7921006021652328</v>
      </c>
      <c r="J5" s="248"/>
      <c r="K5" s="249"/>
      <c r="L5" s="249"/>
      <c r="M5" s="249"/>
      <c r="N5" s="249"/>
      <c r="O5" s="249"/>
      <c r="P5" s="249"/>
      <c r="Q5" s="249"/>
      <c r="R5" s="249"/>
      <c r="S5" s="250"/>
    </row>
    <row r="6" spans="1:19" ht="13" customHeight="1">
      <c r="A6" s="4" t="s">
        <v>654</v>
      </c>
      <c r="B6" s="239">
        <f>STDEV(I1059:I1319)*(260^0.5)</f>
        <v>0.15594631691524252</v>
      </c>
      <c r="C6" s="72">
        <f>STDEV(C1020:C1270)*(249^0.5)</f>
        <v>7.1058146441176459E-2</v>
      </c>
      <c r="D6" s="162">
        <f t="shared" si="0"/>
        <v>2.1946296761953734</v>
      </c>
      <c r="F6" s="216"/>
      <c r="J6" s="248"/>
      <c r="K6" s="249"/>
      <c r="L6" s="249"/>
      <c r="M6" s="249"/>
      <c r="N6" s="249"/>
      <c r="O6" s="249"/>
      <c r="P6" s="249"/>
      <c r="Q6" s="249"/>
      <c r="R6" s="249"/>
      <c r="S6" s="250"/>
    </row>
    <row r="7" spans="1:19" ht="13" customHeight="1" thickBot="1">
      <c r="A7" s="15" t="s">
        <v>496</v>
      </c>
      <c r="B7" s="170">
        <f>AVERAGE(B2:B6)</f>
        <v>0.14180988650580847</v>
      </c>
      <c r="C7" s="170">
        <f>AVERAGE(C2:C6)</f>
        <v>9.2421596074772516E-2</v>
      </c>
      <c r="D7" s="163">
        <f>B7/C7</f>
        <v>1.5343804103001963</v>
      </c>
      <c r="J7" s="251"/>
      <c r="K7" s="252"/>
      <c r="L7" s="252"/>
      <c r="M7" s="252"/>
      <c r="N7" s="252"/>
      <c r="O7" s="252"/>
      <c r="P7" s="252"/>
      <c r="Q7" s="252"/>
      <c r="R7" s="252"/>
      <c r="S7" s="253"/>
    </row>
    <row r="9" spans="1:19" ht="14">
      <c r="A9" t="s">
        <v>350</v>
      </c>
      <c r="B9" s="178" t="s">
        <v>515</v>
      </c>
      <c r="G9" t="s">
        <v>350</v>
      </c>
      <c r="H9" t="s">
        <v>357</v>
      </c>
    </row>
    <row r="10" spans="1:19">
      <c r="A10" t="s">
        <v>251</v>
      </c>
      <c r="B10" t="s">
        <v>517</v>
      </c>
      <c r="G10" t="s">
        <v>251</v>
      </c>
      <c r="H10" t="s">
        <v>356</v>
      </c>
    </row>
    <row r="11" spans="1:19">
      <c r="B11" s="99" t="s">
        <v>516</v>
      </c>
      <c r="H11" s="99" t="s">
        <v>497</v>
      </c>
    </row>
    <row r="12" spans="1:19" ht="16">
      <c r="A12" t="s">
        <v>351</v>
      </c>
      <c r="B12" t="s">
        <v>498</v>
      </c>
      <c r="C12" t="s">
        <v>649</v>
      </c>
      <c r="G12" t="s">
        <v>351</v>
      </c>
      <c r="H12" s="164" t="s">
        <v>498</v>
      </c>
      <c r="I12" t="s">
        <v>649</v>
      </c>
      <c r="J12" s="164"/>
    </row>
    <row r="13" spans="1:19">
      <c r="A13" t="s">
        <v>352</v>
      </c>
      <c r="B13" t="s">
        <v>353</v>
      </c>
      <c r="G13" t="s">
        <v>352</v>
      </c>
      <c r="H13" t="s">
        <v>353</v>
      </c>
    </row>
    <row r="14" spans="1:19" ht="28">
      <c r="A14" s="236" t="s">
        <v>514</v>
      </c>
      <c r="B14" s="236" t="s">
        <v>630</v>
      </c>
      <c r="C14" s="179" t="s">
        <v>355</v>
      </c>
      <c r="G14" s="80" t="s">
        <v>354</v>
      </c>
      <c r="H14" s="77" t="s">
        <v>468</v>
      </c>
      <c r="I14" s="77" t="s">
        <v>355</v>
      </c>
      <c r="J14" s="77"/>
      <c r="K14" s="77"/>
    </row>
    <row r="15" spans="1:19" ht="18">
      <c r="A15" s="237">
        <v>42824</v>
      </c>
      <c r="B15" s="238">
        <v>108.88</v>
      </c>
      <c r="C15" s="47"/>
      <c r="D15" s="165"/>
      <c r="G15" s="81">
        <v>42824</v>
      </c>
      <c r="H15" s="82">
        <v>339.62</v>
      </c>
      <c r="I15" s="166"/>
      <c r="J15" s="77"/>
      <c r="K15" s="167"/>
    </row>
    <row r="16" spans="1:19" ht="19" thickBot="1">
      <c r="A16" s="237">
        <v>42825</v>
      </c>
      <c r="B16" s="238">
        <v>109.39</v>
      </c>
      <c r="C16" s="47">
        <f t="shared" ref="C16:C22" si="1">B16/B15-1</f>
        <v>4.6840558412932776E-3</v>
      </c>
      <c r="D16" s="165"/>
      <c r="G16" s="81">
        <v>42825</v>
      </c>
      <c r="H16" s="82">
        <v>344.11</v>
      </c>
      <c r="I16" s="166">
        <f t="shared" ref="I16:I78" si="2">H16/H15-1</f>
        <v>1.3220658382898653E-2</v>
      </c>
      <c r="J16" s="77"/>
      <c r="K16" s="167"/>
    </row>
    <row r="17" spans="1:15" ht="19" thickBot="1">
      <c r="A17" s="237">
        <v>42829</v>
      </c>
      <c r="B17" s="238">
        <v>109.26</v>
      </c>
      <c r="C17" s="47">
        <f t="shared" si="1"/>
        <v>-1.1884084468415379E-3</v>
      </c>
      <c r="D17" s="168"/>
      <c r="G17" s="81">
        <v>42826</v>
      </c>
      <c r="H17" s="82">
        <v>344.2</v>
      </c>
      <c r="I17" s="166">
        <f t="shared" si="2"/>
        <v>2.6154427363334065E-4</v>
      </c>
      <c r="J17" s="77"/>
      <c r="K17" s="77"/>
    </row>
    <row r="18" spans="1:15" ht="18">
      <c r="A18" s="237">
        <v>42830</v>
      </c>
      <c r="B18" s="238">
        <v>109.63</v>
      </c>
      <c r="C18" s="47">
        <f t="shared" si="1"/>
        <v>3.3864177192017841E-3</v>
      </c>
      <c r="G18" s="81">
        <v>42829</v>
      </c>
      <c r="H18" s="82">
        <v>343.95</v>
      </c>
      <c r="I18" s="166">
        <f t="shared" si="2"/>
        <v>-7.263219058686321E-4</v>
      </c>
      <c r="J18" s="77"/>
      <c r="K18" s="77"/>
      <c r="L18" s="25"/>
      <c r="M18" s="25"/>
      <c r="N18" s="25"/>
      <c r="O18" s="25"/>
    </row>
    <row r="19" spans="1:15" ht="18">
      <c r="A19" s="237">
        <v>42831</v>
      </c>
      <c r="B19" s="238">
        <v>109.25</v>
      </c>
      <c r="C19" s="47">
        <f t="shared" si="1"/>
        <v>-3.4662045060658286E-3</v>
      </c>
      <c r="G19" s="81">
        <v>42830</v>
      </c>
      <c r="H19" s="82">
        <v>345.97</v>
      </c>
      <c r="I19" s="166">
        <f t="shared" si="2"/>
        <v>5.8729466492224436E-3</v>
      </c>
      <c r="J19" s="77"/>
      <c r="K19" s="77"/>
      <c r="L19" s="25"/>
      <c r="M19" s="169"/>
      <c r="N19" s="169"/>
      <c r="O19" s="120"/>
    </row>
    <row r="20" spans="1:15" ht="18">
      <c r="A20" s="237">
        <v>42832</v>
      </c>
      <c r="B20" s="238">
        <v>109.88</v>
      </c>
      <c r="C20" s="47">
        <f t="shared" si="1"/>
        <v>5.7665903890160575E-3</v>
      </c>
      <c r="G20" s="81">
        <v>42831</v>
      </c>
      <c r="H20" s="82">
        <v>344.33</v>
      </c>
      <c r="I20" s="166">
        <f t="shared" si="2"/>
        <v>-4.7402954013354703E-3</v>
      </c>
      <c r="J20" s="77"/>
      <c r="K20" s="77"/>
      <c r="L20" s="25"/>
      <c r="M20" s="169"/>
      <c r="N20" s="169"/>
      <c r="O20" s="120"/>
    </row>
    <row r="21" spans="1:15" ht="18">
      <c r="A21" s="237">
        <v>42833</v>
      </c>
      <c r="B21" s="238">
        <v>109.58</v>
      </c>
      <c r="C21" s="47">
        <f t="shared" si="1"/>
        <v>-2.7302511831087672E-3</v>
      </c>
      <c r="G21" s="81">
        <v>42832</v>
      </c>
      <c r="H21" s="82">
        <v>345.8</v>
      </c>
      <c r="I21" s="166">
        <f t="shared" si="2"/>
        <v>4.2691603984550408E-3</v>
      </c>
      <c r="J21" s="77"/>
      <c r="K21" s="77"/>
      <c r="L21" s="25"/>
      <c r="M21" s="169"/>
      <c r="N21" s="169"/>
      <c r="O21" s="120"/>
    </row>
    <row r="22" spans="1:15" ht="18">
      <c r="A22" s="237">
        <v>42836</v>
      </c>
      <c r="B22" s="238">
        <v>109.76</v>
      </c>
      <c r="C22" s="47">
        <f t="shared" si="1"/>
        <v>1.6426355174301577E-3</v>
      </c>
      <c r="G22" s="81">
        <v>42833</v>
      </c>
      <c r="H22" s="82">
        <v>342.87</v>
      </c>
      <c r="I22" s="166">
        <f t="shared" si="2"/>
        <v>-8.47310584152694E-3</v>
      </c>
      <c r="J22" s="77"/>
      <c r="K22" s="77"/>
      <c r="L22" s="25"/>
      <c r="M22" s="169"/>
      <c r="N22" s="169"/>
      <c r="O22" s="120"/>
    </row>
    <row r="23" spans="1:15" ht="18">
      <c r="A23" s="237">
        <v>42837</v>
      </c>
      <c r="B23" s="238">
        <v>110.34</v>
      </c>
      <c r="C23" s="47">
        <f t="shared" ref="C23:C86" si="3">B23/B22-1</f>
        <v>5.2842565597668312E-3</v>
      </c>
      <c r="G23" s="81">
        <v>42836</v>
      </c>
      <c r="H23" s="82">
        <v>340.05</v>
      </c>
      <c r="I23" s="166">
        <f t="shared" si="2"/>
        <v>-8.2246915740659121E-3</v>
      </c>
      <c r="J23" s="77"/>
      <c r="K23" s="77"/>
      <c r="L23" s="25"/>
      <c r="M23" s="169"/>
      <c r="N23" s="169"/>
      <c r="O23" s="120"/>
    </row>
    <row r="24" spans="1:15" ht="18">
      <c r="A24" s="237">
        <v>42838</v>
      </c>
      <c r="B24" s="238">
        <v>110.24</v>
      </c>
      <c r="C24" s="47">
        <f t="shared" si="3"/>
        <v>-9.0628965017225394E-4</v>
      </c>
      <c r="G24" s="81">
        <v>42837</v>
      </c>
      <c r="H24" s="82">
        <v>339.76</v>
      </c>
      <c r="I24" s="166">
        <f t="shared" si="2"/>
        <v>-8.5281576238793733E-4</v>
      </c>
      <c r="J24" s="77"/>
      <c r="K24" s="77"/>
      <c r="O24" s="120"/>
    </row>
    <row r="25" spans="1:15" ht="18">
      <c r="A25" s="237">
        <v>42839</v>
      </c>
      <c r="B25" s="238">
        <v>111.58</v>
      </c>
      <c r="C25" s="47">
        <f t="shared" si="3"/>
        <v>1.2155297532655984E-2</v>
      </c>
      <c r="G25" s="81">
        <v>42838</v>
      </c>
      <c r="H25" s="82">
        <v>342.53</v>
      </c>
      <c r="I25" s="166">
        <f t="shared" si="2"/>
        <v>8.1528137508828369E-3</v>
      </c>
      <c r="J25" s="77"/>
      <c r="K25" s="77"/>
    </row>
    <row r="26" spans="1:15" ht="18">
      <c r="A26" s="237">
        <v>42840</v>
      </c>
      <c r="B26" s="238">
        <v>111.22</v>
      </c>
      <c r="C26" s="47">
        <f t="shared" si="3"/>
        <v>-3.2263846567485155E-3</v>
      </c>
      <c r="G26" s="81">
        <v>42839</v>
      </c>
      <c r="H26" s="82">
        <v>343.64</v>
      </c>
      <c r="I26" s="166">
        <f t="shared" si="2"/>
        <v>3.2405920649285491E-3</v>
      </c>
      <c r="J26" s="77"/>
      <c r="K26" s="77"/>
    </row>
    <row r="27" spans="1:15" ht="18">
      <c r="A27" s="237">
        <v>42843</v>
      </c>
      <c r="B27" s="238">
        <v>111.14</v>
      </c>
      <c r="C27" s="47">
        <f t="shared" si="3"/>
        <v>-7.1929509081103404E-4</v>
      </c>
      <c r="G27" s="81">
        <v>42840</v>
      </c>
      <c r="H27" s="82">
        <v>346.25</v>
      </c>
      <c r="I27" s="166">
        <f t="shared" si="2"/>
        <v>7.5951577231987422E-3</v>
      </c>
      <c r="J27" s="77"/>
      <c r="K27" s="77"/>
    </row>
    <row r="28" spans="1:15" ht="18">
      <c r="A28" s="237">
        <v>42844</v>
      </c>
      <c r="B28" s="238">
        <v>110.86</v>
      </c>
      <c r="C28" s="47">
        <f t="shared" si="3"/>
        <v>-2.519344970307702E-3</v>
      </c>
      <c r="G28" s="81">
        <v>42843</v>
      </c>
      <c r="H28" s="82">
        <v>346.6</v>
      </c>
      <c r="I28" s="166">
        <f t="shared" si="2"/>
        <v>1.0108303249098949E-3</v>
      </c>
      <c r="J28" s="77"/>
      <c r="K28" s="77"/>
    </row>
    <row r="29" spans="1:15" ht="18">
      <c r="A29" s="237">
        <v>42845</v>
      </c>
      <c r="B29" s="238">
        <v>111.07</v>
      </c>
      <c r="C29" s="47">
        <f t="shared" si="3"/>
        <v>1.8942810752300421E-3</v>
      </c>
      <c r="G29" s="81">
        <v>42844</v>
      </c>
      <c r="H29" s="82">
        <v>346.06</v>
      </c>
      <c r="I29" s="166">
        <f t="shared" si="2"/>
        <v>-1.5579919215233939E-3</v>
      </c>
      <c r="J29" s="77"/>
      <c r="K29" s="77"/>
    </row>
    <row r="30" spans="1:15" ht="18">
      <c r="A30" s="237">
        <v>42846</v>
      </c>
      <c r="B30" s="238">
        <v>111.24</v>
      </c>
      <c r="C30" s="47">
        <f t="shared" si="3"/>
        <v>1.5305663095346311E-3</v>
      </c>
      <c r="G30" s="81">
        <v>42845</v>
      </c>
      <c r="H30" s="82">
        <v>344.58</v>
      </c>
      <c r="I30" s="166">
        <f t="shared" si="2"/>
        <v>-4.2767150205167415E-3</v>
      </c>
      <c r="J30" s="77"/>
      <c r="K30" s="77"/>
    </row>
    <row r="31" spans="1:15" ht="18">
      <c r="A31" s="237">
        <v>42847</v>
      </c>
      <c r="B31" s="238">
        <v>111.43</v>
      </c>
      <c r="C31" s="47">
        <f t="shared" si="3"/>
        <v>1.7080186983100543E-3</v>
      </c>
      <c r="G31" s="81">
        <v>42846</v>
      </c>
      <c r="H31" s="82">
        <v>345.69</v>
      </c>
      <c r="I31" s="166">
        <f t="shared" si="2"/>
        <v>3.2213129026641418E-3</v>
      </c>
      <c r="J31" s="77"/>
      <c r="K31" s="77"/>
    </row>
    <row r="32" spans="1:15" ht="18">
      <c r="A32" s="237">
        <v>42850</v>
      </c>
      <c r="B32" s="238">
        <v>110.92</v>
      </c>
      <c r="C32" s="47">
        <f t="shared" si="3"/>
        <v>-4.576864399174374E-3</v>
      </c>
      <c r="G32" s="81">
        <v>42847</v>
      </c>
      <c r="H32" s="82">
        <v>348.69</v>
      </c>
      <c r="I32" s="166">
        <f t="shared" si="2"/>
        <v>8.678295582747575E-3</v>
      </c>
      <c r="J32" s="77"/>
      <c r="K32" s="77"/>
    </row>
    <row r="33" spans="1:11" ht="18">
      <c r="A33" s="237">
        <v>42851</v>
      </c>
      <c r="B33" s="238">
        <v>110.32</v>
      </c>
      <c r="C33" s="47">
        <f t="shared" si="3"/>
        <v>-5.4093040028850847E-3</v>
      </c>
      <c r="G33" s="81">
        <v>42850</v>
      </c>
      <c r="H33" s="82">
        <v>350.67</v>
      </c>
      <c r="I33" s="166">
        <f t="shared" si="2"/>
        <v>5.6783962832316348E-3</v>
      </c>
      <c r="J33" s="77"/>
      <c r="K33" s="77"/>
    </row>
    <row r="34" spans="1:11" ht="18">
      <c r="A34" s="237">
        <v>42852</v>
      </c>
      <c r="B34" s="238">
        <v>110.69</v>
      </c>
      <c r="C34" s="47">
        <f t="shared" si="3"/>
        <v>3.3538796229151124E-3</v>
      </c>
      <c r="G34" s="81">
        <v>42851</v>
      </c>
      <c r="H34" s="82">
        <v>351.2</v>
      </c>
      <c r="I34" s="166">
        <f t="shared" si="2"/>
        <v>1.5113924772578446E-3</v>
      </c>
      <c r="J34" s="77"/>
      <c r="K34" s="77"/>
    </row>
    <row r="35" spans="1:11" ht="18">
      <c r="A35" s="237">
        <v>42853</v>
      </c>
      <c r="B35" s="238">
        <v>110.82</v>
      </c>
      <c r="C35" s="47">
        <f t="shared" si="3"/>
        <v>1.1744511699340876E-3</v>
      </c>
      <c r="G35" s="81">
        <v>42852</v>
      </c>
      <c r="H35" s="82">
        <v>353.08</v>
      </c>
      <c r="I35" s="166">
        <f t="shared" si="2"/>
        <v>5.3530751708428248E-3</v>
      </c>
      <c r="J35" s="77"/>
      <c r="K35" s="77"/>
    </row>
    <row r="36" spans="1:11" ht="18">
      <c r="A36" s="237">
        <v>42854</v>
      </c>
      <c r="B36" s="238">
        <v>111.14</v>
      </c>
      <c r="C36" s="47">
        <f t="shared" si="3"/>
        <v>2.8875654214042257E-3</v>
      </c>
      <c r="G36" s="81">
        <v>42853</v>
      </c>
      <c r="H36" s="82">
        <v>353.02</v>
      </c>
      <c r="I36" s="166">
        <f t="shared" si="2"/>
        <v>-1.6993315962388067E-4</v>
      </c>
      <c r="J36" s="77"/>
      <c r="K36" s="77"/>
    </row>
    <row r="37" spans="1:11" ht="18">
      <c r="A37" s="237">
        <v>42857</v>
      </c>
      <c r="B37" s="238">
        <v>110.64</v>
      </c>
      <c r="C37" s="47">
        <f t="shared" si="3"/>
        <v>-4.4988303041209043E-3</v>
      </c>
      <c r="G37" s="81">
        <v>42854</v>
      </c>
      <c r="H37" s="82">
        <v>349</v>
      </c>
      <c r="I37" s="166">
        <f t="shared" si="2"/>
        <v>-1.1387456801314366E-2</v>
      </c>
      <c r="J37" s="77"/>
      <c r="K37" s="77"/>
    </row>
    <row r="38" spans="1:11" ht="18">
      <c r="A38" s="237">
        <v>42858</v>
      </c>
      <c r="B38" s="238">
        <v>110.74</v>
      </c>
      <c r="C38" s="47">
        <f t="shared" si="3"/>
        <v>9.0383224873469281E-4</v>
      </c>
      <c r="G38" s="81">
        <v>42857</v>
      </c>
      <c r="H38" s="82">
        <v>347.17</v>
      </c>
      <c r="I38" s="166">
        <f t="shared" si="2"/>
        <v>-5.2435530085959137E-3</v>
      </c>
      <c r="J38" s="77"/>
      <c r="K38" s="77"/>
    </row>
    <row r="39" spans="1:11" ht="18">
      <c r="A39" s="237">
        <v>42859</v>
      </c>
      <c r="B39" s="238">
        <v>110.89</v>
      </c>
      <c r="C39" s="47">
        <f t="shared" si="3"/>
        <v>1.354524110529276E-3</v>
      </c>
      <c r="G39" s="81">
        <v>42858</v>
      </c>
      <c r="H39" s="82">
        <v>344.99</v>
      </c>
      <c r="I39" s="166">
        <f t="shared" si="2"/>
        <v>-6.2793444133998344E-3</v>
      </c>
      <c r="J39" s="77"/>
      <c r="K39" s="77"/>
    </row>
    <row r="40" spans="1:11" ht="18">
      <c r="A40" s="237">
        <v>42860</v>
      </c>
      <c r="B40" s="238">
        <v>111.1</v>
      </c>
      <c r="C40" s="47">
        <f t="shared" si="3"/>
        <v>1.8937685995130682E-3</v>
      </c>
      <c r="G40" s="81">
        <v>42859</v>
      </c>
      <c r="H40" s="82">
        <v>344.66</v>
      </c>
      <c r="I40" s="166">
        <f t="shared" si="2"/>
        <v>-9.5654946520185025E-4</v>
      </c>
      <c r="J40" s="77"/>
      <c r="K40" s="77"/>
    </row>
    <row r="41" spans="1:11" ht="18">
      <c r="A41" s="237">
        <v>42861</v>
      </c>
      <c r="B41" s="238">
        <v>111.6</v>
      </c>
      <c r="C41" s="47">
        <f t="shared" si="3"/>
        <v>4.5004500450045448E-3</v>
      </c>
      <c r="G41" s="81">
        <v>42860</v>
      </c>
      <c r="H41" s="82">
        <v>346.65</v>
      </c>
      <c r="I41" s="166">
        <f t="shared" si="2"/>
        <v>5.773806069749865E-3</v>
      </c>
      <c r="J41" s="77"/>
      <c r="K41" s="77"/>
    </row>
    <row r="42" spans="1:11" ht="18">
      <c r="A42" s="237">
        <v>42864</v>
      </c>
      <c r="B42" s="238">
        <v>111.35</v>
      </c>
      <c r="C42" s="47">
        <f t="shared" si="3"/>
        <v>-2.2401433691756623E-3</v>
      </c>
      <c r="G42" s="81">
        <v>42861</v>
      </c>
      <c r="H42" s="82">
        <v>348.66</v>
      </c>
      <c r="I42" s="166">
        <f t="shared" si="2"/>
        <v>5.7983556901775035E-3</v>
      </c>
      <c r="J42" s="77"/>
      <c r="K42" s="77"/>
    </row>
    <row r="43" spans="1:11" ht="18">
      <c r="A43" s="237">
        <v>42865</v>
      </c>
      <c r="B43" s="238">
        <v>111.09</v>
      </c>
      <c r="C43" s="47">
        <f t="shared" si="3"/>
        <v>-2.334979793443992E-3</v>
      </c>
      <c r="G43" s="81">
        <v>42864</v>
      </c>
      <c r="H43" s="82">
        <v>347.55</v>
      </c>
      <c r="I43" s="166">
        <f t="shared" si="2"/>
        <v>-3.1836172775770999E-3</v>
      </c>
      <c r="J43" s="77"/>
      <c r="K43" s="77"/>
    </row>
    <row r="44" spans="1:11" ht="18">
      <c r="A44" s="237">
        <v>42866</v>
      </c>
      <c r="B44" s="238">
        <v>110.08</v>
      </c>
      <c r="C44" s="47">
        <f t="shared" si="3"/>
        <v>-9.0917274282114047E-3</v>
      </c>
      <c r="G44" s="81">
        <v>42865</v>
      </c>
      <c r="H44" s="82">
        <v>343.59</v>
      </c>
      <c r="I44" s="166">
        <f t="shared" si="2"/>
        <v>-1.1394044022442928E-2</v>
      </c>
      <c r="J44" s="77"/>
      <c r="K44" s="77"/>
    </row>
    <row r="45" spans="1:11" ht="18">
      <c r="A45" s="237">
        <v>42867</v>
      </c>
      <c r="B45" s="238">
        <v>110.65</v>
      </c>
      <c r="C45" s="47">
        <f t="shared" si="3"/>
        <v>5.1780523255815503E-3</v>
      </c>
      <c r="G45" s="81">
        <v>42866</v>
      </c>
      <c r="H45" s="82">
        <v>340.16</v>
      </c>
      <c r="I45" s="166">
        <f t="shared" si="2"/>
        <v>-9.9828283710234889E-3</v>
      </c>
      <c r="J45" s="77"/>
      <c r="K45" s="77"/>
    </row>
    <row r="46" spans="1:11" ht="18">
      <c r="A46" s="237">
        <v>42868</v>
      </c>
      <c r="B46" s="238">
        <v>111.23</v>
      </c>
      <c r="C46" s="47">
        <f t="shared" si="3"/>
        <v>5.241753276095773E-3</v>
      </c>
      <c r="G46" s="81">
        <v>42867</v>
      </c>
      <c r="H46" s="82">
        <v>335.04</v>
      </c>
      <c r="I46" s="166">
        <f t="shared" si="2"/>
        <v>-1.5051740357478804E-2</v>
      </c>
      <c r="J46" s="77"/>
      <c r="K46" s="77"/>
    </row>
    <row r="47" spans="1:11" ht="18">
      <c r="A47" s="237">
        <v>42871</v>
      </c>
      <c r="B47" s="238">
        <v>111.17</v>
      </c>
      <c r="C47" s="47">
        <f t="shared" si="3"/>
        <v>-5.3942281758523336E-4</v>
      </c>
      <c r="G47" s="81">
        <v>42868</v>
      </c>
      <c r="H47" s="82">
        <v>338.29</v>
      </c>
      <c r="I47" s="166">
        <f t="shared" si="2"/>
        <v>9.7003342884431909E-3</v>
      </c>
      <c r="J47" s="77"/>
      <c r="K47" s="77"/>
    </row>
    <row r="48" spans="1:11" ht="18">
      <c r="A48" s="237">
        <v>42872</v>
      </c>
      <c r="B48" s="238">
        <v>111.16</v>
      </c>
      <c r="C48" s="47">
        <f t="shared" si="3"/>
        <v>-8.9952325267650401E-5</v>
      </c>
      <c r="G48" s="81">
        <v>42871</v>
      </c>
      <c r="H48" s="82">
        <v>339.63</v>
      </c>
      <c r="I48" s="166">
        <f t="shared" si="2"/>
        <v>3.9610984658133841E-3</v>
      </c>
      <c r="J48" s="77"/>
      <c r="K48" s="77"/>
    </row>
    <row r="49" spans="1:11" ht="18">
      <c r="A49" s="237">
        <v>42873</v>
      </c>
      <c r="B49" s="238">
        <v>110.64</v>
      </c>
      <c r="C49" s="47">
        <f t="shared" si="3"/>
        <v>-4.6779417056495021E-3</v>
      </c>
      <c r="G49" s="81">
        <v>42872</v>
      </c>
      <c r="H49" s="82">
        <v>345.37</v>
      </c>
      <c r="I49" s="166">
        <f t="shared" si="2"/>
        <v>1.690074492830429E-2</v>
      </c>
      <c r="J49" s="77"/>
      <c r="K49" s="77"/>
    </row>
    <row r="50" spans="1:11" ht="18">
      <c r="A50" s="237">
        <v>42874</v>
      </c>
      <c r="B50" s="238">
        <v>111.41</v>
      </c>
      <c r="C50" s="47">
        <f t="shared" si="3"/>
        <v>6.9595083152567128E-3</v>
      </c>
      <c r="G50" s="81">
        <v>42873</v>
      </c>
      <c r="H50" s="82">
        <v>343.94</v>
      </c>
      <c r="I50" s="166">
        <f t="shared" si="2"/>
        <v>-4.1404870139271077E-3</v>
      </c>
      <c r="J50" s="77"/>
      <c r="K50" s="77"/>
    </row>
    <row r="51" spans="1:11" ht="18">
      <c r="A51" s="237">
        <v>42875</v>
      </c>
      <c r="B51" s="238">
        <v>111.19</v>
      </c>
      <c r="C51" s="47">
        <f t="shared" si="3"/>
        <v>-1.9746880890404439E-3</v>
      </c>
      <c r="G51" s="81">
        <v>42874</v>
      </c>
      <c r="H51" s="82">
        <v>344.45</v>
      </c>
      <c r="I51" s="166">
        <f t="shared" si="2"/>
        <v>1.4828167703668793E-3</v>
      </c>
      <c r="J51" s="77"/>
      <c r="K51" s="77"/>
    </row>
    <row r="52" spans="1:11" ht="18">
      <c r="A52" s="237">
        <v>42878</v>
      </c>
      <c r="B52" s="238">
        <v>111.31</v>
      </c>
      <c r="C52" s="47">
        <f t="shared" si="3"/>
        <v>1.0792337440417299E-3</v>
      </c>
      <c r="G52" s="81">
        <v>42875</v>
      </c>
      <c r="H52" s="82">
        <v>344.78</v>
      </c>
      <c r="I52" s="166">
        <f t="shared" si="2"/>
        <v>9.5804906372465304E-4</v>
      </c>
      <c r="J52" s="77"/>
      <c r="K52" s="77"/>
    </row>
    <row r="53" spans="1:11" ht="18">
      <c r="A53" s="237">
        <v>42879</v>
      </c>
      <c r="B53" s="238">
        <v>111.85</v>
      </c>
      <c r="C53" s="47">
        <f t="shared" si="3"/>
        <v>4.851316144101947E-3</v>
      </c>
      <c r="G53" s="81">
        <v>42878</v>
      </c>
      <c r="H53" s="82">
        <v>344.65</v>
      </c>
      <c r="I53" s="166">
        <f t="shared" si="2"/>
        <v>-3.7705203318061375E-4</v>
      </c>
      <c r="J53" s="77"/>
      <c r="K53" s="77"/>
    </row>
    <row r="54" spans="1:11" ht="18">
      <c r="A54" s="237">
        <v>42880</v>
      </c>
      <c r="B54" s="238">
        <v>111.84</v>
      </c>
      <c r="C54" s="47">
        <f t="shared" si="3"/>
        <v>-8.9405453732593898E-5</v>
      </c>
      <c r="G54" s="81">
        <v>42879</v>
      </c>
      <c r="H54" s="82">
        <v>348.92</v>
      </c>
      <c r="I54" s="166">
        <f t="shared" si="2"/>
        <v>1.2389380530973604E-2</v>
      </c>
      <c r="J54" s="77"/>
      <c r="K54" s="77"/>
    </row>
    <row r="55" spans="1:11" ht="18">
      <c r="A55" s="237">
        <v>42881</v>
      </c>
      <c r="B55" s="238">
        <v>111.63</v>
      </c>
      <c r="C55" s="47">
        <f t="shared" si="3"/>
        <v>-1.877682403433556E-3</v>
      </c>
      <c r="G55" s="81">
        <v>42880</v>
      </c>
      <c r="H55" s="82">
        <v>350.79</v>
      </c>
      <c r="I55" s="166">
        <f t="shared" si="2"/>
        <v>5.3593947036569833E-3</v>
      </c>
      <c r="J55" s="77"/>
      <c r="K55" s="77"/>
    </row>
    <row r="56" spans="1:11" ht="18">
      <c r="A56" s="237">
        <v>42882</v>
      </c>
      <c r="B56" s="238">
        <v>111.86</v>
      </c>
      <c r="C56" s="47">
        <f t="shared" si="3"/>
        <v>2.0603780345784806E-3</v>
      </c>
      <c r="G56" s="81">
        <v>42881</v>
      </c>
      <c r="H56" s="82">
        <v>352.03</v>
      </c>
      <c r="I56" s="166">
        <f t="shared" si="2"/>
        <v>3.5348784172866132E-3</v>
      </c>
      <c r="J56" s="77"/>
      <c r="K56" s="77"/>
    </row>
    <row r="57" spans="1:11" ht="18">
      <c r="A57" s="237">
        <v>42886</v>
      </c>
      <c r="B57" s="238">
        <v>111.65</v>
      </c>
      <c r="C57" s="47">
        <f t="shared" si="3"/>
        <v>-1.877346683354153E-3</v>
      </c>
      <c r="G57" s="81">
        <v>42882</v>
      </c>
      <c r="H57" s="82">
        <v>353.55</v>
      </c>
      <c r="I57" s="166">
        <f t="shared" si="2"/>
        <v>4.31781382268559E-3</v>
      </c>
      <c r="J57" s="77"/>
      <c r="K57" s="77"/>
    </row>
    <row r="58" spans="1:11" ht="18">
      <c r="A58" s="237">
        <v>42887</v>
      </c>
      <c r="B58" s="238">
        <v>111.82</v>
      </c>
      <c r="C58" s="47">
        <f t="shared" si="3"/>
        <v>1.5226153157186229E-3</v>
      </c>
      <c r="G58" s="81">
        <v>42885</v>
      </c>
      <c r="H58" s="82">
        <v>357.07</v>
      </c>
      <c r="I58" s="166">
        <f t="shared" si="2"/>
        <v>9.9561589591288246E-3</v>
      </c>
      <c r="J58" s="77"/>
      <c r="K58" s="77"/>
    </row>
    <row r="59" spans="1:11" ht="18">
      <c r="A59" s="237">
        <v>42888</v>
      </c>
      <c r="B59" s="238">
        <v>111.27</v>
      </c>
      <c r="C59" s="47">
        <f t="shared" si="3"/>
        <v>-4.9186192094436976E-3</v>
      </c>
      <c r="G59" s="81">
        <v>42886</v>
      </c>
      <c r="H59" s="82">
        <v>360.55</v>
      </c>
      <c r="I59" s="166">
        <f t="shared" si="2"/>
        <v>9.7459881815891158E-3</v>
      </c>
      <c r="J59" s="77"/>
      <c r="K59" s="77"/>
    </row>
    <row r="60" spans="1:11" ht="18">
      <c r="A60" s="237">
        <v>42889</v>
      </c>
      <c r="B60" s="238">
        <v>112.01</v>
      </c>
      <c r="C60" s="47">
        <f t="shared" si="3"/>
        <v>6.6504897995867118E-3</v>
      </c>
      <c r="G60" s="81">
        <v>42887</v>
      </c>
      <c r="H60" s="82">
        <v>360.82</v>
      </c>
      <c r="I60" s="166">
        <f t="shared" si="2"/>
        <v>7.4885591457496403E-4</v>
      </c>
      <c r="J60" s="77"/>
      <c r="K60" s="77"/>
    </row>
    <row r="61" spans="1:11" ht="18">
      <c r="A61" s="237">
        <v>42892</v>
      </c>
      <c r="B61" s="238">
        <v>111.76</v>
      </c>
      <c r="C61" s="47">
        <f t="shared" si="3"/>
        <v>-2.2319435764663886E-3</v>
      </c>
      <c r="G61" s="81">
        <v>42888</v>
      </c>
      <c r="H61" s="82">
        <v>359.36</v>
      </c>
      <c r="I61" s="166">
        <f t="shared" si="2"/>
        <v>-4.0463388947397094E-3</v>
      </c>
      <c r="J61" s="77"/>
      <c r="K61" s="77"/>
    </row>
    <row r="62" spans="1:11" ht="18">
      <c r="A62" s="237">
        <v>42893</v>
      </c>
      <c r="B62" s="238">
        <v>112.2</v>
      </c>
      <c r="C62" s="47">
        <f t="shared" si="3"/>
        <v>3.937007874015741E-3</v>
      </c>
      <c r="G62" s="81">
        <v>42889</v>
      </c>
      <c r="H62" s="82">
        <v>359.35</v>
      </c>
      <c r="I62" s="166">
        <f t="shared" si="2"/>
        <v>-2.7827248441636421E-5</v>
      </c>
      <c r="J62" s="77"/>
      <c r="K62" s="77"/>
    </row>
    <row r="63" spans="1:11" ht="18">
      <c r="A63" s="237">
        <v>42894</v>
      </c>
      <c r="B63" s="238">
        <v>112.6</v>
      </c>
      <c r="C63" s="47">
        <f t="shared" si="3"/>
        <v>3.5650623885916666E-3</v>
      </c>
      <c r="G63" s="81">
        <v>42892</v>
      </c>
      <c r="H63" s="82">
        <v>359</v>
      </c>
      <c r="I63" s="166">
        <f t="shared" si="2"/>
        <v>-9.7398079866428677E-4</v>
      </c>
      <c r="J63" s="77"/>
      <c r="K63" s="77"/>
    </row>
    <row r="64" spans="1:11" ht="18">
      <c r="A64" s="237">
        <v>42895</v>
      </c>
      <c r="B64" s="238">
        <v>112.77</v>
      </c>
      <c r="C64" s="47">
        <f t="shared" si="3"/>
        <v>1.50976909413858E-3</v>
      </c>
      <c r="G64" s="81">
        <v>42893</v>
      </c>
      <c r="H64" s="82">
        <v>358.41</v>
      </c>
      <c r="I64" s="166">
        <f t="shared" si="2"/>
        <v>-1.6434540389971275E-3</v>
      </c>
      <c r="J64" s="77"/>
      <c r="K64" s="77"/>
    </row>
    <row r="65" spans="1:11" ht="18">
      <c r="A65" s="237">
        <v>42896</v>
      </c>
      <c r="B65" s="238">
        <v>112.9</v>
      </c>
      <c r="C65" s="47">
        <f t="shared" si="3"/>
        <v>1.1527888622862026E-3</v>
      </c>
      <c r="G65" s="81">
        <v>42894</v>
      </c>
      <c r="H65" s="82">
        <v>357.69</v>
      </c>
      <c r="I65" s="166">
        <f t="shared" si="2"/>
        <v>-2.0088725202980218E-3</v>
      </c>
      <c r="J65" s="77"/>
      <c r="K65" s="77"/>
    </row>
    <row r="66" spans="1:11" ht="18">
      <c r="A66" s="237">
        <v>42899</v>
      </c>
      <c r="B66" s="238">
        <v>112.22</v>
      </c>
      <c r="C66" s="47">
        <f t="shared" si="3"/>
        <v>-6.0230292294065624E-3</v>
      </c>
      <c r="G66" s="81">
        <v>42895</v>
      </c>
      <c r="H66" s="82">
        <v>359.54</v>
      </c>
      <c r="I66" s="166">
        <f t="shared" si="2"/>
        <v>5.1720763789875335E-3</v>
      </c>
      <c r="J66" s="77"/>
      <c r="K66" s="77"/>
    </row>
    <row r="67" spans="1:11" ht="18">
      <c r="A67" s="237">
        <v>42900</v>
      </c>
      <c r="B67" s="238">
        <v>112.47</v>
      </c>
      <c r="C67" s="47">
        <f t="shared" si="3"/>
        <v>2.2277668864729705E-3</v>
      </c>
      <c r="G67" s="81">
        <v>42896</v>
      </c>
      <c r="H67" s="82">
        <v>359.7</v>
      </c>
      <c r="I67" s="166">
        <f t="shared" si="2"/>
        <v>4.4501307225885967E-4</v>
      </c>
      <c r="J67" s="77"/>
      <c r="K67" s="77"/>
    </row>
    <row r="68" spans="1:11" ht="18">
      <c r="A68" s="237">
        <v>42901</v>
      </c>
      <c r="B68" s="238">
        <v>111.51</v>
      </c>
      <c r="C68" s="47">
        <f t="shared" si="3"/>
        <v>-8.5356094958655149E-3</v>
      </c>
      <c r="G68" s="81">
        <v>42899</v>
      </c>
      <c r="H68" s="82">
        <v>360.42</v>
      </c>
      <c r="I68" s="166">
        <f t="shared" si="2"/>
        <v>2.0016680567140899E-3</v>
      </c>
      <c r="J68" s="77"/>
      <c r="K68" s="77"/>
    </row>
    <row r="69" spans="1:11" ht="18">
      <c r="A69" s="237">
        <v>42902</v>
      </c>
      <c r="B69" s="238">
        <v>111.95</v>
      </c>
      <c r="C69" s="47">
        <f t="shared" si="3"/>
        <v>3.9458344543090718E-3</v>
      </c>
      <c r="G69" s="81">
        <v>42900</v>
      </c>
      <c r="H69" s="82">
        <v>358.56</v>
      </c>
      <c r="I69" s="166">
        <f t="shared" si="2"/>
        <v>-5.1606459131013915E-3</v>
      </c>
      <c r="J69" s="77"/>
      <c r="K69" s="77"/>
    </row>
    <row r="70" spans="1:11" ht="18">
      <c r="A70" s="237">
        <v>42903</v>
      </c>
      <c r="B70" s="238">
        <v>112.27</v>
      </c>
      <c r="C70" s="47">
        <f t="shared" si="3"/>
        <v>2.8584189370253199E-3</v>
      </c>
      <c r="G70" s="81">
        <v>42901</v>
      </c>
      <c r="H70" s="82">
        <v>355.87</v>
      </c>
      <c r="I70" s="166">
        <f t="shared" si="2"/>
        <v>-7.5022311468094793E-3</v>
      </c>
      <c r="J70" s="77"/>
      <c r="K70" s="77"/>
    </row>
    <row r="71" spans="1:11" ht="18">
      <c r="A71" s="237">
        <v>42906</v>
      </c>
      <c r="B71" s="238">
        <v>112.2</v>
      </c>
      <c r="C71" s="47">
        <f t="shared" si="3"/>
        <v>-6.2349692705077064E-4</v>
      </c>
      <c r="G71" s="81">
        <v>42902</v>
      </c>
      <c r="H71" s="82">
        <v>354.57</v>
      </c>
      <c r="I71" s="166">
        <f t="shared" si="2"/>
        <v>-3.6530193610025963E-3</v>
      </c>
      <c r="J71" s="77"/>
      <c r="K71" s="77"/>
    </row>
    <row r="72" spans="1:11" ht="18">
      <c r="A72" s="237">
        <v>42907</v>
      </c>
      <c r="B72" s="238">
        <v>112.15</v>
      </c>
      <c r="C72" s="47">
        <f t="shared" si="3"/>
        <v>-4.4563279857390281E-4</v>
      </c>
      <c r="G72" s="81">
        <v>42903</v>
      </c>
      <c r="H72" s="82">
        <v>354.09</v>
      </c>
      <c r="I72" s="166">
        <f t="shared" si="2"/>
        <v>-1.3537524325240025E-3</v>
      </c>
      <c r="J72" s="77"/>
      <c r="K72" s="77"/>
    </row>
    <row r="73" spans="1:11" ht="18">
      <c r="A73" s="237">
        <v>42908</v>
      </c>
      <c r="B73" s="238">
        <v>112.28</v>
      </c>
      <c r="C73" s="47">
        <f t="shared" si="3"/>
        <v>1.1591618368256285E-3</v>
      </c>
      <c r="G73" s="81">
        <v>42906</v>
      </c>
      <c r="H73" s="82">
        <v>351.85</v>
      </c>
      <c r="I73" s="166">
        <f t="shared" si="2"/>
        <v>-6.3260752915923479E-3</v>
      </c>
      <c r="J73" s="77"/>
      <c r="K73" s="77"/>
    </row>
    <row r="74" spans="1:11" ht="18">
      <c r="A74" s="237">
        <v>42909</v>
      </c>
      <c r="B74" s="238">
        <v>112.32</v>
      </c>
      <c r="C74" s="47">
        <f t="shared" si="3"/>
        <v>3.5625222657631461E-4</v>
      </c>
      <c r="G74" s="81">
        <v>42907</v>
      </c>
      <c r="H74" s="82">
        <v>350.98</v>
      </c>
      <c r="I74" s="166">
        <f t="shared" si="2"/>
        <v>-2.4726445928663354E-3</v>
      </c>
      <c r="J74" s="77"/>
      <c r="K74" s="77"/>
    </row>
    <row r="75" spans="1:11" ht="18">
      <c r="A75" s="237">
        <v>42910</v>
      </c>
      <c r="B75" s="238">
        <v>112.13</v>
      </c>
      <c r="C75" s="47">
        <f t="shared" si="3"/>
        <v>-1.6915954415954726E-3</v>
      </c>
      <c r="G75" s="81">
        <v>42908</v>
      </c>
      <c r="H75" s="82">
        <v>354.53</v>
      </c>
      <c r="I75" s="166">
        <f t="shared" si="2"/>
        <v>1.0114536440822608E-2</v>
      </c>
      <c r="J75" s="77"/>
      <c r="K75" s="77"/>
    </row>
    <row r="76" spans="1:11" ht="18">
      <c r="A76" s="237">
        <v>42913</v>
      </c>
      <c r="B76" s="238">
        <v>112.34</v>
      </c>
      <c r="C76" s="47">
        <f t="shared" si="3"/>
        <v>1.8728261838938387E-3</v>
      </c>
      <c r="G76" s="81">
        <v>42909</v>
      </c>
      <c r="H76" s="82">
        <v>356.13</v>
      </c>
      <c r="I76" s="166">
        <f>H76/H75-1</f>
        <v>4.5130172340845931E-3</v>
      </c>
      <c r="J76" s="77"/>
      <c r="K76" s="77"/>
    </row>
    <row r="77" spans="1:11" ht="18">
      <c r="A77" s="237">
        <v>42914</v>
      </c>
      <c r="B77" s="238">
        <v>112.31</v>
      </c>
      <c r="C77" s="47">
        <f t="shared" si="3"/>
        <v>-2.6704646608510796E-4</v>
      </c>
      <c r="G77" s="81">
        <v>42910</v>
      </c>
      <c r="H77" s="82">
        <v>359.35</v>
      </c>
      <c r="I77" s="166">
        <f t="shared" si="2"/>
        <v>9.0416420969872124E-3</v>
      </c>
      <c r="J77" s="77"/>
      <c r="K77" s="77"/>
    </row>
    <row r="78" spans="1:11" ht="18">
      <c r="A78" s="237">
        <v>42915</v>
      </c>
      <c r="B78" s="238">
        <v>112.46</v>
      </c>
      <c r="C78" s="47">
        <f t="shared" si="3"/>
        <v>1.3355889947466171E-3</v>
      </c>
      <c r="G78" s="81">
        <v>42913</v>
      </c>
      <c r="H78" s="82">
        <v>359.43</v>
      </c>
      <c r="I78" s="166">
        <f t="shared" si="2"/>
        <v>2.226241825518116E-4</v>
      </c>
      <c r="J78" s="77"/>
      <c r="K78" s="77"/>
    </row>
    <row r="79" spans="1:11" ht="18">
      <c r="A79" s="237">
        <v>42916</v>
      </c>
      <c r="B79" s="238">
        <v>111.99</v>
      </c>
      <c r="C79" s="47">
        <f t="shared" si="3"/>
        <v>-4.1792637382179754E-3</v>
      </c>
      <c r="G79" s="81">
        <v>42914</v>
      </c>
      <c r="H79" s="82">
        <v>358.53</v>
      </c>
      <c r="I79" s="166">
        <f t="shared" ref="I79:I142" si="4">H79/H78-1</f>
        <v>-2.5039646106336244E-3</v>
      </c>
      <c r="J79" s="77"/>
      <c r="K79" s="77"/>
    </row>
    <row r="80" spans="1:11" ht="18">
      <c r="A80" s="237">
        <v>42917</v>
      </c>
      <c r="B80" s="238">
        <v>112.12</v>
      </c>
      <c r="C80" s="47">
        <f t="shared" si="3"/>
        <v>1.1608179301725308E-3</v>
      </c>
      <c r="G80" s="81">
        <v>42915</v>
      </c>
      <c r="H80" s="82">
        <v>357.51</v>
      </c>
      <c r="I80" s="166">
        <f t="shared" si="4"/>
        <v>-2.8449502133711668E-3</v>
      </c>
      <c r="J80" s="77"/>
      <c r="K80" s="77"/>
    </row>
    <row r="81" spans="1:11" ht="18">
      <c r="A81" s="237">
        <v>42921</v>
      </c>
      <c r="B81" s="238">
        <v>112.25</v>
      </c>
      <c r="C81" s="47">
        <f t="shared" si="3"/>
        <v>1.159471994291783E-3</v>
      </c>
      <c r="G81" s="81">
        <v>42916</v>
      </c>
      <c r="H81" s="82">
        <v>355.92</v>
      </c>
      <c r="I81" s="166">
        <f t="shared" si="4"/>
        <v>-4.4474280439706915E-3</v>
      </c>
      <c r="J81" s="77"/>
      <c r="K81" s="77"/>
    </row>
    <row r="82" spans="1:11" ht="18">
      <c r="A82" s="237">
        <v>42922</v>
      </c>
      <c r="B82" s="238">
        <v>112.41</v>
      </c>
      <c r="C82" s="47">
        <f t="shared" si="3"/>
        <v>1.4253897550111638E-3</v>
      </c>
      <c r="G82" s="81">
        <v>42917</v>
      </c>
      <c r="H82" s="82">
        <v>353.12</v>
      </c>
      <c r="I82" s="166">
        <f t="shared" si="4"/>
        <v>-7.8669363902000855E-3</v>
      </c>
      <c r="J82" s="77"/>
      <c r="K82" s="77"/>
    </row>
    <row r="83" spans="1:11" ht="18">
      <c r="A83" s="237">
        <v>42923</v>
      </c>
      <c r="B83" s="238">
        <v>112.18</v>
      </c>
      <c r="C83" s="47">
        <f t="shared" si="3"/>
        <v>-2.0460813094919095E-3</v>
      </c>
      <c r="G83" s="81">
        <v>42920</v>
      </c>
      <c r="H83" s="82">
        <v>353.41</v>
      </c>
      <c r="I83" s="166">
        <f t="shared" si="4"/>
        <v>8.2125056637982752E-4</v>
      </c>
      <c r="J83" s="77"/>
      <c r="K83" s="77"/>
    </row>
    <row r="84" spans="1:11" ht="18">
      <c r="A84" s="237">
        <v>42924</v>
      </c>
      <c r="B84" s="238">
        <v>112.15</v>
      </c>
      <c r="C84" s="47">
        <f t="shared" si="3"/>
        <v>-2.6742734890350395E-4</v>
      </c>
      <c r="G84" s="81">
        <v>42921</v>
      </c>
      <c r="H84" s="82">
        <v>350.16</v>
      </c>
      <c r="I84" s="166">
        <f t="shared" si="4"/>
        <v>-9.1961178234911678E-3</v>
      </c>
      <c r="J84" s="77"/>
      <c r="K84" s="77"/>
    </row>
    <row r="85" spans="1:11" ht="18">
      <c r="A85" s="237">
        <v>42927</v>
      </c>
      <c r="B85" s="238">
        <v>112.22</v>
      </c>
      <c r="C85" s="47">
        <f t="shared" si="3"/>
        <v>6.2416406598297947E-4</v>
      </c>
      <c r="G85" s="81">
        <v>42922</v>
      </c>
      <c r="H85" s="82">
        <v>349.27</v>
      </c>
      <c r="I85" s="166">
        <f t="shared" si="4"/>
        <v>-2.5416952250401081E-3</v>
      </c>
      <c r="J85" s="77"/>
      <c r="K85" s="77"/>
    </row>
    <row r="86" spans="1:11" ht="18">
      <c r="A86" s="237">
        <v>42928</v>
      </c>
      <c r="B86" s="238">
        <v>111.82</v>
      </c>
      <c r="C86" s="47">
        <f t="shared" si="3"/>
        <v>-3.5644270183567972E-3</v>
      </c>
      <c r="G86" s="81">
        <v>42923</v>
      </c>
      <c r="H86" s="82">
        <v>343.35</v>
      </c>
      <c r="I86" s="166">
        <f t="shared" si="4"/>
        <v>-1.6949637816016105E-2</v>
      </c>
      <c r="J86" s="77"/>
      <c r="K86" s="77"/>
    </row>
    <row r="87" spans="1:11" ht="18">
      <c r="A87" s="237">
        <v>42929</v>
      </c>
      <c r="B87" s="238">
        <v>112.3</v>
      </c>
      <c r="C87" s="47">
        <f t="shared" ref="C87:C150" si="5">B87/B86-1</f>
        <v>4.2926131282419178E-3</v>
      </c>
      <c r="G87" s="81">
        <v>42924</v>
      </c>
      <c r="H87" s="82">
        <v>345.29</v>
      </c>
      <c r="I87" s="166">
        <f t="shared" si="4"/>
        <v>5.6502111547982459E-3</v>
      </c>
      <c r="J87" s="77"/>
      <c r="K87" s="77"/>
    </row>
    <row r="88" spans="1:11" ht="18">
      <c r="A88" s="237">
        <v>42930</v>
      </c>
      <c r="B88" s="238">
        <v>112.65</v>
      </c>
      <c r="C88" s="47">
        <f t="shared" si="5"/>
        <v>3.116651825467498E-3</v>
      </c>
      <c r="G88" s="81">
        <v>42927</v>
      </c>
      <c r="H88" s="82">
        <v>347.23</v>
      </c>
      <c r="I88" s="166">
        <f t="shared" si="4"/>
        <v>5.6184656375799502E-3</v>
      </c>
      <c r="J88" s="77"/>
      <c r="K88" s="77"/>
    </row>
    <row r="89" spans="1:11" ht="18">
      <c r="A89" s="237">
        <v>42931</v>
      </c>
      <c r="B89" s="238">
        <v>112.5</v>
      </c>
      <c r="C89" s="47">
        <f t="shared" si="5"/>
        <v>-1.3315579227697327E-3</v>
      </c>
      <c r="G89" s="81">
        <v>42928</v>
      </c>
      <c r="H89" s="82">
        <v>349.69</v>
      </c>
      <c r="I89" s="166">
        <f t="shared" si="4"/>
        <v>7.0846413040346334E-3</v>
      </c>
      <c r="J89" s="77"/>
      <c r="K89" s="77"/>
    </row>
    <row r="90" spans="1:11" ht="18">
      <c r="A90" s="237">
        <v>42934</v>
      </c>
      <c r="B90" s="238">
        <v>112.52</v>
      </c>
      <c r="C90" s="47">
        <f t="shared" si="5"/>
        <v>1.7777777777783221E-4</v>
      </c>
      <c r="G90" s="81">
        <v>42929</v>
      </c>
      <c r="H90" s="82">
        <v>349.57</v>
      </c>
      <c r="I90" s="166">
        <f t="shared" si="4"/>
        <v>-3.4316108553289482E-4</v>
      </c>
      <c r="J90" s="77"/>
      <c r="K90" s="77"/>
    </row>
    <row r="91" spans="1:11" ht="18">
      <c r="A91" s="237">
        <v>42935</v>
      </c>
      <c r="B91" s="238">
        <v>112.83</v>
      </c>
      <c r="C91" s="47">
        <f t="shared" si="5"/>
        <v>2.7550657660859734E-3</v>
      </c>
      <c r="G91" s="81">
        <v>42930</v>
      </c>
      <c r="H91" s="82">
        <v>351.76</v>
      </c>
      <c r="I91" s="166">
        <f t="shared" si="4"/>
        <v>6.264839660153898E-3</v>
      </c>
      <c r="J91" s="77"/>
      <c r="K91" s="77"/>
    </row>
    <row r="92" spans="1:11" ht="18">
      <c r="A92" s="237">
        <v>42936</v>
      </c>
      <c r="B92" s="238">
        <v>112.4</v>
      </c>
      <c r="C92" s="47">
        <f t="shared" si="5"/>
        <v>-3.8110431622794261E-3</v>
      </c>
      <c r="G92" s="81">
        <v>42931</v>
      </c>
      <c r="H92" s="82">
        <v>349.79</v>
      </c>
      <c r="I92" s="166">
        <f t="shared" si="4"/>
        <v>-5.600409370024928E-3</v>
      </c>
      <c r="J92" s="77"/>
      <c r="K92" s="77"/>
    </row>
    <row r="93" spans="1:11" ht="18">
      <c r="A93" s="237">
        <v>42937</v>
      </c>
      <c r="B93" s="238">
        <v>112.65</v>
      </c>
      <c r="C93" s="47">
        <f t="shared" si="5"/>
        <v>2.2241992882561235E-3</v>
      </c>
      <c r="G93" s="81">
        <v>42934</v>
      </c>
      <c r="H93" s="82">
        <v>344.53</v>
      </c>
      <c r="I93" s="166">
        <f t="shared" si="4"/>
        <v>-1.5037593984962516E-2</v>
      </c>
      <c r="J93" s="77"/>
      <c r="K93" s="77"/>
    </row>
    <row r="94" spans="1:11" ht="18">
      <c r="A94" s="237">
        <v>42938</v>
      </c>
      <c r="B94" s="238">
        <v>112.66</v>
      </c>
      <c r="C94" s="47">
        <f t="shared" si="5"/>
        <v>8.877052818445641E-5</v>
      </c>
      <c r="G94" s="81">
        <v>42935</v>
      </c>
      <c r="H94" s="82">
        <v>342.95</v>
      </c>
      <c r="I94" s="166">
        <f t="shared" si="4"/>
        <v>-4.5859576814790692E-3</v>
      </c>
      <c r="J94" s="77"/>
      <c r="K94" s="77"/>
    </row>
    <row r="95" spans="1:11" ht="18">
      <c r="A95" s="237">
        <v>42941</v>
      </c>
      <c r="B95" s="238">
        <v>112.35</v>
      </c>
      <c r="C95" s="47">
        <f t="shared" si="5"/>
        <v>-2.7516421090005849E-3</v>
      </c>
      <c r="G95" s="81">
        <v>42936</v>
      </c>
      <c r="H95" s="82">
        <v>343.74</v>
      </c>
      <c r="I95" s="166">
        <f t="shared" si="4"/>
        <v>2.3035427904942729E-3</v>
      </c>
      <c r="J95" s="77"/>
      <c r="K95" s="77"/>
    </row>
    <row r="96" spans="1:11" ht="18">
      <c r="A96" s="237">
        <v>42942</v>
      </c>
      <c r="B96" s="238">
        <v>112.05</v>
      </c>
      <c r="C96" s="47">
        <f t="shared" si="5"/>
        <v>-2.6702269692923108E-3</v>
      </c>
      <c r="G96" s="81">
        <v>42937</v>
      </c>
      <c r="H96" s="82">
        <v>347.03</v>
      </c>
      <c r="I96" s="166">
        <f t="shared" si="4"/>
        <v>9.5711875254551604E-3</v>
      </c>
      <c r="J96" s="77"/>
      <c r="K96" s="77"/>
    </row>
    <row r="97" spans="1:11" ht="18">
      <c r="A97" s="237">
        <v>42943</v>
      </c>
      <c r="B97" s="238">
        <v>112.33</v>
      </c>
      <c r="C97" s="47">
        <f t="shared" si="5"/>
        <v>2.4988844265951826E-3</v>
      </c>
      <c r="G97" s="81">
        <v>42938</v>
      </c>
      <c r="H97" s="82">
        <v>342.79</v>
      </c>
      <c r="I97" s="166">
        <f t="shared" si="4"/>
        <v>-1.2217963864795456E-2</v>
      </c>
      <c r="J97" s="77"/>
      <c r="K97" s="77"/>
    </row>
    <row r="98" spans="1:11" ht="18">
      <c r="A98" s="237">
        <v>42944</v>
      </c>
      <c r="B98" s="238">
        <v>112.43</v>
      </c>
      <c r="C98" s="47">
        <f t="shared" si="5"/>
        <v>8.9023413157662823E-4</v>
      </c>
      <c r="G98" s="81">
        <v>42941</v>
      </c>
      <c r="H98" s="82">
        <v>334.85</v>
      </c>
      <c r="I98" s="166">
        <f t="shared" si="4"/>
        <v>-2.316286939525658E-2</v>
      </c>
      <c r="J98" s="77"/>
      <c r="K98" s="77"/>
    </row>
    <row r="99" spans="1:11" ht="18">
      <c r="A99" s="237">
        <v>42945</v>
      </c>
      <c r="B99" s="238">
        <v>112.73</v>
      </c>
      <c r="C99" s="47">
        <f t="shared" si="5"/>
        <v>2.6683269589966585E-3</v>
      </c>
      <c r="G99" s="81">
        <v>42942</v>
      </c>
      <c r="H99" s="82">
        <v>327.16000000000003</v>
      </c>
      <c r="I99" s="166">
        <f t="shared" si="4"/>
        <v>-2.2965506943407488E-2</v>
      </c>
      <c r="J99" s="77"/>
      <c r="K99" s="77"/>
    </row>
    <row r="100" spans="1:11" ht="18">
      <c r="A100" s="237">
        <v>42948</v>
      </c>
      <c r="B100" s="238">
        <v>112.53</v>
      </c>
      <c r="C100" s="47">
        <f t="shared" si="5"/>
        <v>-1.7741506253881045E-3</v>
      </c>
      <c r="G100" s="81">
        <v>42943</v>
      </c>
      <c r="H100" s="82">
        <v>331.47</v>
      </c>
      <c r="I100" s="166">
        <f t="shared" si="4"/>
        <v>1.3173982149407015E-2</v>
      </c>
      <c r="J100" s="77"/>
      <c r="K100" s="77"/>
    </row>
    <row r="101" spans="1:11" ht="18">
      <c r="A101" s="237">
        <v>42949</v>
      </c>
      <c r="B101" s="238">
        <v>112.58</v>
      </c>
      <c r="C101" s="47">
        <f t="shared" si="5"/>
        <v>4.4432595752241788E-4</v>
      </c>
      <c r="G101" s="81">
        <v>42944</v>
      </c>
      <c r="H101" s="82">
        <v>338.17</v>
      </c>
      <c r="I101" s="166">
        <f t="shared" si="4"/>
        <v>2.0212990617552107E-2</v>
      </c>
      <c r="J101" s="77"/>
      <c r="K101" s="77"/>
    </row>
    <row r="102" spans="1:11" ht="18">
      <c r="A102" s="237">
        <v>42950</v>
      </c>
      <c r="B102" s="238">
        <v>112.63</v>
      </c>
      <c r="C102" s="47">
        <f t="shared" si="5"/>
        <v>4.441286196481542E-4</v>
      </c>
      <c r="G102" s="81">
        <v>42945</v>
      </c>
      <c r="H102" s="82">
        <v>334.62</v>
      </c>
      <c r="I102" s="166">
        <f t="shared" si="4"/>
        <v>-1.0497678682319544E-2</v>
      </c>
      <c r="J102" s="77"/>
      <c r="K102" s="77"/>
    </row>
    <row r="103" spans="1:11" ht="18">
      <c r="A103" s="237">
        <v>42951</v>
      </c>
      <c r="B103" s="238">
        <v>112.56</v>
      </c>
      <c r="C103" s="47">
        <f t="shared" si="5"/>
        <v>-6.2150403977623281E-4</v>
      </c>
      <c r="G103" s="81">
        <v>42948</v>
      </c>
      <c r="H103" s="82">
        <v>338.84</v>
      </c>
      <c r="I103" s="166">
        <f t="shared" si="4"/>
        <v>1.2611320303627993E-2</v>
      </c>
      <c r="J103" s="77"/>
      <c r="K103" s="77"/>
    </row>
    <row r="104" spans="1:11" ht="18">
      <c r="A104" s="237">
        <v>42952</v>
      </c>
      <c r="B104" s="238">
        <v>111.96</v>
      </c>
      <c r="C104" s="47">
        <f t="shared" si="5"/>
        <v>-5.3304904051173496E-3</v>
      </c>
      <c r="G104" s="81">
        <v>42949</v>
      </c>
      <c r="H104" s="82">
        <v>338.05</v>
      </c>
      <c r="I104" s="166">
        <f t="shared" si="4"/>
        <v>-2.3314838861998588E-3</v>
      </c>
      <c r="J104" s="77"/>
      <c r="K104" s="77"/>
    </row>
    <row r="105" spans="1:11" ht="18">
      <c r="A105" s="237">
        <v>42955</v>
      </c>
      <c r="B105" s="238">
        <v>111.59</v>
      </c>
      <c r="C105" s="47">
        <f t="shared" si="5"/>
        <v>-3.3047516970345914E-3</v>
      </c>
      <c r="G105" s="81">
        <v>42950</v>
      </c>
      <c r="H105" s="82">
        <v>340.17</v>
      </c>
      <c r="I105" s="166">
        <f t="shared" si="4"/>
        <v>6.2712616476852112E-3</v>
      </c>
      <c r="J105" s="77"/>
      <c r="K105" s="77"/>
    </row>
    <row r="106" spans="1:11" ht="18">
      <c r="A106" s="237">
        <v>42956</v>
      </c>
      <c r="B106" s="238">
        <v>111.57</v>
      </c>
      <c r="C106" s="47">
        <f t="shared" si="5"/>
        <v>-1.7922752934862451E-4</v>
      </c>
      <c r="G106" s="81">
        <v>42951</v>
      </c>
      <c r="H106" s="82">
        <v>339.06</v>
      </c>
      <c r="I106" s="166">
        <f t="shared" si="4"/>
        <v>-3.2630743451803612E-3</v>
      </c>
      <c r="J106" s="77"/>
      <c r="K106" s="77"/>
    </row>
    <row r="107" spans="1:11" ht="18">
      <c r="A107" s="237">
        <v>42957</v>
      </c>
      <c r="B107" s="238">
        <v>111.64</v>
      </c>
      <c r="C107" s="47">
        <f t="shared" si="5"/>
        <v>6.2740880164935398E-4</v>
      </c>
      <c r="G107" s="81">
        <v>42952</v>
      </c>
      <c r="H107" s="82">
        <v>336.9</v>
      </c>
      <c r="I107" s="166">
        <f t="shared" si="4"/>
        <v>-6.3705538842683263E-3</v>
      </c>
      <c r="J107" s="77"/>
      <c r="K107" s="77"/>
    </row>
    <row r="108" spans="1:11" ht="18">
      <c r="A108" s="237">
        <v>42958</v>
      </c>
      <c r="B108" s="238">
        <v>111.79</v>
      </c>
      <c r="C108" s="47">
        <f t="shared" si="5"/>
        <v>1.3436044428520866E-3</v>
      </c>
      <c r="G108" s="81">
        <v>42955</v>
      </c>
      <c r="H108" s="82">
        <v>337.54</v>
      </c>
      <c r="I108" s="166">
        <f t="shared" si="4"/>
        <v>1.8996734936183035E-3</v>
      </c>
      <c r="J108" s="77"/>
      <c r="K108" s="77"/>
    </row>
    <row r="109" spans="1:11" ht="18">
      <c r="A109" s="237">
        <v>42959</v>
      </c>
      <c r="B109" s="238">
        <v>112.32</v>
      </c>
      <c r="C109" s="47">
        <f t="shared" si="5"/>
        <v>4.741032292691516E-3</v>
      </c>
      <c r="G109" s="81">
        <v>42956</v>
      </c>
      <c r="H109" s="82">
        <v>339.36</v>
      </c>
      <c r="I109" s="166">
        <f t="shared" si="4"/>
        <v>5.3919535462463308E-3</v>
      </c>
      <c r="J109" s="77"/>
      <c r="K109" s="77"/>
    </row>
    <row r="110" spans="1:11" ht="18">
      <c r="A110" s="237">
        <v>42962</v>
      </c>
      <c r="B110" s="238">
        <v>112.34</v>
      </c>
      <c r="C110" s="47">
        <f t="shared" si="5"/>
        <v>1.7806267806275144E-4</v>
      </c>
      <c r="G110" s="81">
        <v>42957</v>
      </c>
      <c r="H110" s="82">
        <v>339.28</v>
      </c>
      <c r="I110" s="166">
        <f t="shared" si="4"/>
        <v>-2.357378595003734E-4</v>
      </c>
      <c r="J110" s="77"/>
      <c r="K110" s="77"/>
    </row>
    <row r="111" spans="1:11" ht="18">
      <c r="A111" s="237">
        <v>42963</v>
      </c>
      <c r="B111" s="238">
        <v>112.24</v>
      </c>
      <c r="C111" s="47">
        <f t="shared" si="5"/>
        <v>-8.9015488695043388E-4</v>
      </c>
      <c r="G111" s="81">
        <v>42958</v>
      </c>
      <c r="H111" s="82">
        <v>338.21</v>
      </c>
      <c r="I111" s="166">
        <f t="shared" si="4"/>
        <v>-3.1537373261023571E-3</v>
      </c>
      <c r="J111" s="77"/>
      <c r="K111" s="77"/>
    </row>
    <row r="112" spans="1:11" ht="18">
      <c r="A112" s="237">
        <v>42964</v>
      </c>
      <c r="B112" s="238">
        <v>112.15</v>
      </c>
      <c r="C112" s="47">
        <f t="shared" si="5"/>
        <v>-8.0185317177472459E-4</v>
      </c>
      <c r="G112" s="81">
        <v>42959</v>
      </c>
      <c r="H112" s="82">
        <v>336.45</v>
      </c>
      <c r="I112" s="166">
        <f t="shared" si="4"/>
        <v>-5.2038674196505097E-3</v>
      </c>
      <c r="J112" s="77"/>
      <c r="K112" s="77"/>
    </row>
    <row r="113" spans="1:11" ht="18">
      <c r="A113" s="237">
        <v>42965</v>
      </c>
      <c r="B113" s="238">
        <v>112.26</v>
      </c>
      <c r="C113" s="47">
        <f t="shared" si="5"/>
        <v>9.8082924654474546E-4</v>
      </c>
      <c r="G113" s="81">
        <v>42962</v>
      </c>
      <c r="H113" s="82">
        <v>333.54</v>
      </c>
      <c r="I113" s="166">
        <f t="shared" si="4"/>
        <v>-8.6491306286222702E-3</v>
      </c>
      <c r="J113" s="77"/>
      <c r="K113" s="77"/>
    </row>
    <row r="114" spans="1:11" ht="18">
      <c r="A114" s="237">
        <v>42966</v>
      </c>
      <c r="B114" s="238">
        <v>112.1</v>
      </c>
      <c r="C114" s="47">
        <f t="shared" si="5"/>
        <v>-1.4252627828257314E-3</v>
      </c>
      <c r="G114" s="81">
        <v>42963</v>
      </c>
      <c r="H114" s="82">
        <v>329.49</v>
      </c>
      <c r="I114" s="166">
        <f t="shared" si="4"/>
        <v>-1.2142471667566102E-2</v>
      </c>
      <c r="J114" s="77"/>
      <c r="K114" s="77"/>
    </row>
    <row r="115" spans="1:11" ht="18">
      <c r="A115" s="237">
        <v>42969</v>
      </c>
      <c r="B115" s="238">
        <v>112.52</v>
      </c>
      <c r="C115" s="47">
        <f t="shared" si="5"/>
        <v>3.7466547725244492E-3</v>
      </c>
      <c r="G115" s="81">
        <v>42964</v>
      </c>
      <c r="H115" s="82">
        <v>330.87</v>
      </c>
      <c r="I115" s="166">
        <f t="shared" si="4"/>
        <v>4.1882909951742597E-3</v>
      </c>
      <c r="J115" s="77"/>
      <c r="K115" s="77"/>
    </row>
    <row r="116" spans="1:11" ht="18">
      <c r="A116" s="237">
        <v>42970</v>
      </c>
      <c r="B116" s="238">
        <v>112.59</v>
      </c>
      <c r="C116" s="47">
        <f t="shared" si="5"/>
        <v>6.2211162460013014E-4</v>
      </c>
      <c r="G116" s="81">
        <v>42965</v>
      </c>
      <c r="H116" s="82">
        <v>323.88</v>
      </c>
      <c r="I116" s="166">
        <f t="shared" si="4"/>
        <v>-2.1126122041889572E-2</v>
      </c>
      <c r="J116" s="77"/>
      <c r="K116" s="77"/>
    </row>
    <row r="117" spans="1:11" ht="18">
      <c r="A117" s="237">
        <v>42971</v>
      </c>
      <c r="B117" s="238">
        <v>112.51</v>
      </c>
      <c r="C117" s="47">
        <f t="shared" si="5"/>
        <v>-7.1054267696957218E-4</v>
      </c>
      <c r="G117" s="81">
        <v>42966</v>
      </c>
      <c r="H117" s="82">
        <v>321.23</v>
      </c>
      <c r="I117" s="166">
        <f t="shared" si="4"/>
        <v>-8.1820427318759492E-3</v>
      </c>
      <c r="J117" s="77"/>
      <c r="K117" s="77"/>
    </row>
    <row r="118" spans="1:11" ht="18">
      <c r="A118" s="237">
        <v>42972</v>
      </c>
      <c r="B118" s="238">
        <v>112.33</v>
      </c>
      <c r="C118" s="47">
        <f t="shared" si="5"/>
        <v>-1.5998577904187128E-3</v>
      </c>
      <c r="G118" s="81">
        <v>42969</v>
      </c>
      <c r="H118" s="82">
        <v>326.25</v>
      </c>
      <c r="I118" s="166">
        <f t="shared" si="4"/>
        <v>1.5627432058026969E-2</v>
      </c>
      <c r="J118" s="77"/>
      <c r="K118" s="77"/>
    </row>
    <row r="119" spans="1:11" ht="18">
      <c r="A119" s="237">
        <v>42973</v>
      </c>
      <c r="B119" s="238">
        <v>113.05</v>
      </c>
      <c r="C119" s="47">
        <f t="shared" si="5"/>
        <v>6.4096857473514568E-3</v>
      </c>
      <c r="G119" s="81">
        <v>42970</v>
      </c>
      <c r="H119" s="82">
        <v>333.81</v>
      </c>
      <c r="I119" s="166">
        <f t="shared" si="4"/>
        <v>2.317241379310353E-2</v>
      </c>
      <c r="J119" s="77"/>
      <c r="K119" s="77"/>
    </row>
    <row r="120" spans="1:11" ht="18">
      <c r="A120" s="237">
        <v>42976</v>
      </c>
      <c r="B120" s="238">
        <v>113.35</v>
      </c>
      <c r="C120" s="47">
        <f t="shared" si="5"/>
        <v>2.6536930561698036E-3</v>
      </c>
      <c r="G120" s="81">
        <v>42971</v>
      </c>
      <c r="H120" s="82">
        <v>335.47</v>
      </c>
      <c r="I120" s="166">
        <f t="shared" si="4"/>
        <v>4.9728887690603241E-3</v>
      </c>
      <c r="J120" s="77"/>
      <c r="K120" s="77"/>
    </row>
    <row r="121" spans="1:11" ht="18">
      <c r="A121" s="237">
        <v>42977</v>
      </c>
      <c r="B121" s="238">
        <v>113.39</v>
      </c>
      <c r="C121" s="47">
        <f t="shared" si="5"/>
        <v>3.5288928098808903E-4</v>
      </c>
      <c r="G121" s="81">
        <v>42972</v>
      </c>
      <c r="H121" s="82">
        <v>333.09</v>
      </c>
      <c r="I121" s="166">
        <f t="shared" si="4"/>
        <v>-7.0945241005158088E-3</v>
      </c>
      <c r="J121" s="77"/>
      <c r="K121" s="77"/>
    </row>
    <row r="122" spans="1:11" ht="18">
      <c r="A122" s="237">
        <v>42978</v>
      </c>
      <c r="B122" s="238">
        <v>113.24</v>
      </c>
      <c r="C122" s="47">
        <f t="shared" si="5"/>
        <v>-1.3228679777759211E-3</v>
      </c>
      <c r="G122" s="81">
        <v>42973</v>
      </c>
      <c r="H122" s="82">
        <v>335.25</v>
      </c>
      <c r="I122" s="166">
        <f t="shared" si="4"/>
        <v>6.4847338557147971E-3</v>
      </c>
      <c r="J122" s="77"/>
      <c r="K122" s="77"/>
    </row>
    <row r="123" spans="1:11" ht="18">
      <c r="A123" s="237">
        <v>42979</v>
      </c>
      <c r="B123" s="238">
        <v>113.55</v>
      </c>
      <c r="C123" s="47">
        <f t="shared" si="5"/>
        <v>2.7375485694101087E-3</v>
      </c>
      <c r="G123" s="81">
        <v>42976</v>
      </c>
      <c r="H123" s="82">
        <v>338.88</v>
      </c>
      <c r="I123" s="166">
        <f t="shared" si="4"/>
        <v>1.0827740492169946E-2</v>
      </c>
      <c r="J123" s="77"/>
      <c r="K123" s="77"/>
    </row>
    <row r="124" spans="1:11" ht="18">
      <c r="A124" s="237">
        <v>42980</v>
      </c>
      <c r="B124" s="238">
        <v>113.18</v>
      </c>
      <c r="C124" s="47">
        <f t="shared" si="5"/>
        <v>-3.2584764420958701E-3</v>
      </c>
      <c r="G124" s="81">
        <v>42977</v>
      </c>
      <c r="H124" s="82">
        <v>343.62</v>
      </c>
      <c r="I124" s="166">
        <f t="shared" si="4"/>
        <v>1.3987252124646021E-2</v>
      </c>
      <c r="J124" s="77"/>
      <c r="K124" s="77"/>
    </row>
    <row r="125" spans="1:11" ht="18">
      <c r="A125" s="237">
        <v>42984</v>
      </c>
      <c r="B125" s="238">
        <v>112.87</v>
      </c>
      <c r="C125" s="47">
        <f t="shared" si="5"/>
        <v>-2.7389998232904E-3</v>
      </c>
      <c r="G125" s="81">
        <v>42978</v>
      </c>
      <c r="H125" s="82">
        <v>345.15</v>
      </c>
      <c r="I125" s="166">
        <f t="shared" si="4"/>
        <v>4.4525929806180642E-3</v>
      </c>
      <c r="J125" s="77"/>
      <c r="K125" s="77"/>
    </row>
    <row r="126" spans="1:11" ht="18">
      <c r="A126" s="237">
        <v>42985</v>
      </c>
      <c r="B126" s="238">
        <v>113.07</v>
      </c>
      <c r="C126" s="47">
        <f t="shared" si="5"/>
        <v>1.7719500310089398E-3</v>
      </c>
      <c r="G126" s="81">
        <v>42979</v>
      </c>
      <c r="H126" s="82">
        <v>345.18</v>
      </c>
      <c r="I126" s="166">
        <f t="shared" si="4"/>
        <v>8.6918730986651482E-5</v>
      </c>
      <c r="J126" s="77"/>
      <c r="K126" s="77"/>
    </row>
    <row r="127" spans="1:11" ht="18">
      <c r="A127" s="237">
        <v>42986</v>
      </c>
      <c r="B127" s="238">
        <v>113.26</v>
      </c>
      <c r="C127" s="47">
        <f t="shared" si="5"/>
        <v>1.6803749889449104E-3</v>
      </c>
      <c r="G127" s="81">
        <v>42980</v>
      </c>
      <c r="H127" s="82">
        <v>346.12</v>
      </c>
      <c r="I127" s="166">
        <f t="shared" si="4"/>
        <v>2.7232168723565486E-3</v>
      </c>
      <c r="J127" s="77"/>
      <c r="K127" s="77"/>
    </row>
    <row r="128" spans="1:11" ht="18">
      <c r="A128" s="237">
        <v>42987</v>
      </c>
      <c r="B128" s="238">
        <v>112.9</v>
      </c>
      <c r="C128" s="47">
        <f t="shared" si="5"/>
        <v>-3.1785272823591226E-3</v>
      </c>
      <c r="G128" s="81">
        <v>42983</v>
      </c>
      <c r="H128" s="82">
        <v>347.97</v>
      </c>
      <c r="I128" s="166">
        <f t="shared" si="4"/>
        <v>5.3449670634462265E-3</v>
      </c>
      <c r="J128" s="77"/>
      <c r="K128" s="77"/>
    </row>
    <row r="129" spans="1:11" ht="18">
      <c r="A129" s="237">
        <v>42990</v>
      </c>
      <c r="B129" s="238">
        <v>113.05</v>
      </c>
      <c r="C129" s="47">
        <f t="shared" si="5"/>
        <v>1.3286093888396078E-3</v>
      </c>
      <c r="G129" s="81">
        <v>42984</v>
      </c>
      <c r="H129" s="82">
        <v>348.89</v>
      </c>
      <c r="I129" s="166">
        <f t="shared" si="4"/>
        <v>2.6439060838576722E-3</v>
      </c>
      <c r="J129" s="77"/>
      <c r="K129" s="77"/>
    </row>
    <row r="130" spans="1:11" ht="18">
      <c r="A130" s="237">
        <v>42991</v>
      </c>
      <c r="B130" s="238">
        <v>113.27</v>
      </c>
      <c r="C130" s="47">
        <f t="shared" si="5"/>
        <v>1.946041574524493E-3</v>
      </c>
      <c r="G130" s="81">
        <v>42985</v>
      </c>
      <c r="H130" s="82">
        <v>345.54</v>
      </c>
      <c r="I130" s="166">
        <f t="shared" si="4"/>
        <v>-9.601880248788941E-3</v>
      </c>
      <c r="J130" s="77"/>
      <c r="K130" s="77"/>
    </row>
    <row r="131" spans="1:11" ht="18">
      <c r="A131" s="237">
        <v>42992</v>
      </c>
      <c r="B131" s="238">
        <v>113.25</v>
      </c>
      <c r="C131" s="47">
        <f t="shared" si="5"/>
        <v>-1.7656925929188105E-4</v>
      </c>
      <c r="G131" s="81">
        <v>42986</v>
      </c>
      <c r="H131" s="82">
        <v>343.68</v>
      </c>
      <c r="I131" s="166">
        <f t="shared" si="4"/>
        <v>-5.3828789720438142E-3</v>
      </c>
      <c r="J131" s="77"/>
      <c r="K131" s="77"/>
    </row>
    <row r="132" spans="1:11" ht="18">
      <c r="A132" s="237">
        <v>42993</v>
      </c>
      <c r="B132" s="238">
        <v>112.87</v>
      </c>
      <c r="C132" s="47">
        <f t="shared" si="5"/>
        <v>-3.3554083885208863E-3</v>
      </c>
      <c r="G132" s="81">
        <v>42987</v>
      </c>
      <c r="H132" s="82">
        <v>345.63</v>
      </c>
      <c r="I132" s="166">
        <f t="shared" si="4"/>
        <v>5.6738826815641019E-3</v>
      </c>
      <c r="J132" s="77"/>
      <c r="K132" s="77"/>
    </row>
    <row r="133" spans="1:11" ht="18">
      <c r="A133" s="237">
        <v>42994</v>
      </c>
      <c r="B133" s="238">
        <v>112.5</v>
      </c>
      <c r="C133" s="47">
        <f t="shared" si="5"/>
        <v>-3.278107557366905E-3</v>
      </c>
      <c r="G133" s="81">
        <v>42990</v>
      </c>
      <c r="H133" s="82">
        <v>344.47</v>
      </c>
      <c r="I133" s="166">
        <f t="shared" si="4"/>
        <v>-3.3561901455312348E-3</v>
      </c>
      <c r="J133" s="77"/>
      <c r="K133" s="77"/>
    </row>
    <row r="134" spans="1:11" ht="18">
      <c r="A134" s="237">
        <v>42997</v>
      </c>
      <c r="B134" s="238">
        <v>111.98</v>
      </c>
      <c r="C134" s="47">
        <f t="shared" si="5"/>
        <v>-4.6222222222221943E-3</v>
      </c>
      <c r="G134" s="81">
        <v>42991</v>
      </c>
      <c r="H134" s="82">
        <v>342.42</v>
      </c>
      <c r="I134" s="166">
        <f t="shared" si="4"/>
        <v>-5.9511713647052433E-3</v>
      </c>
      <c r="J134" s="77"/>
      <c r="K134" s="77"/>
    </row>
    <row r="135" spans="1:11" ht="18">
      <c r="A135" s="237">
        <v>42998</v>
      </c>
      <c r="B135" s="238">
        <v>112.19</v>
      </c>
      <c r="C135" s="47">
        <f t="shared" si="5"/>
        <v>1.8753348812288184E-3</v>
      </c>
      <c r="G135" s="81">
        <v>42992</v>
      </c>
      <c r="H135" s="82">
        <v>340.71</v>
      </c>
      <c r="I135" s="166">
        <f t="shared" si="4"/>
        <v>-4.9938671806554202E-3</v>
      </c>
      <c r="J135" s="77"/>
      <c r="K135" s="77"/>
    </row>
    <row r="136" spans="1:11" ht="18">
      <c r="A136" s="237">
        <v>42999</v>
      </c>
      <c r="B136" s="238">
        <v>112.26</v>
      </c>
      <c r="C136" s="47">
        <f t="shared" si="5"/>
        <v>6.2394152776557021E-4</v>
      </c>
      <c r="G136" s="81">
        <v>42993</v>
      </c>
      <c r="H136" s="82">
        <v>337.88</v>
      </c>
      <c r="I136" s="166">
        <f t="shared" si="4"/>
        <v>-8.3061841448739404E-3</v>
      </c>
      <c r="J136" s="77"/>
      <c r="K136" s="77"/>
    </row>
    <row r="137" spans="1:11" ht="18">
      <c r="A137" s="237">
        <v>43000</v>
      </c>
      <c r="B137" s="238">
        <v>111.4</v>
      </c>
      <c r="C137" s="47">
        <f t="shared" si="5"/>
        <v>-7.6607874576875012E-3</v>
      </c>
      <c r="G137" s="81">
        <v>42994</v>
      </c>
      <c r="H137" s="82">
        <v>337.68</v>
      </c>
      <c r="I137" s="166">
        <f t="shared" si="4"/>
        <v>-5.9192612761926888E-4</v>
      </c>
      <c r="J137" s="77"/>
      <c r="K137" s="77"/>
    </row>
    <row r="138" spans="1:11" ht="18">
      <c r="A138" s="237">
        <v>43001</v>
      </c>
      <c r="B138" s="238">
        <v>110.94</v>
      </c>
      <c r="C138" s="47">
        <f t="shared" si="5"/>
        <v>-4.1292639138241771E-3</v>
      </c>
      <c r="G138" s="81">
        <v>42997</v>
      </c>
      <c r="H138" s="82">
        <v>331.06</v>
      </c>
      <c r="I138" s="166">
        <f t="shared" si="4"/>
        <v>-1.9604359156597972E-2</v>
      </c>
      <c r="J138" s="77"/>
      <c r="K138" s="77"/>
    </row>
    <row r="139" spans="1:11" ht="18">
      <c r="A139" s="237">
        <v>43004</v>
      </c>
      <c r="B139" s="238">
        <v>110.61</v>
      </c>
      <c r="C139" s="47">
        <f t="shared" si="5"/>
        <v>-2.9745808545159624E-3</v>
      </c>
      <c r="G139" s="81">
        <v>42998</v>
      </c>
      <c r="H139" s="82">
        <v>332.2</v>
      </c>
      <c r="I139" s="166">
        <f t="shared" si="4"/>
        <v>3.443484564731536E-3</v>
      </c>
      <c r="J139" s="77"/>
      <c r="K139" s="77"/>
    </row>
    <row r="140" spans="1:11" ht="18">
      <c r="A140" s="237">
        <v>43005</v>
      </c>
      <c r="B140" s="238">
        <v>109.98</v>
      </c>
      <c r="C140" s="47">
        <f t="shared" si="5"/>
        <v>-5.695687550854367E-3</v>
      </c>
      <c r="G140" s="81">
        <v>42999</v>
      </c>
      <c r="H140" s="82">
        <v>333.07</v>
      </c>
      <c r="I140" s="166">
        <f t="shared" si="4"/>
        <v>2.6189042745334845E-3</v>
      </c>
      <c r="J140" s="77"/>
      <c r="K140" s="77"/>
    </row>
    <row r="141" spans="1:11" ht="18">
      <c r="A141" s="237">
        <v>43006</v>
      </c>
      <c r="B141" s="238">
        <v>110.08</v>
      </c>
      <c r="C141" s="47">
        <f t="shared" si="5"/>
        <v>9.0925622840520859E-4</v>
      </c>
      <c r="G141" s="81">
        <v>43000</v>
      </c>
      <c r="H141" s="82">
        <v>336.36</v>
      </c>
      <c r="I141" s="166">
        <f t="shared" si="4"/>
        <v>9.8778034647371005E-3</v>
      </c>
      <c r="J141" s="77"/>
      <c r="K141" s="77"/>
    </row>
    <row r="142" spans="1:11" ht="18">
      <c r="A142" s="237">
        <v>43007</v>
      </c>
      <c r="B142" s="238">
        <v>110.06</v>
      </c>
      <c r="C142" s="47">
        <f t="shared" si="5"/>
        <v>-1.816860465115866E-4</v>
      </c>
      <c r="G142" s="81">
        <v>43001</v>
      </c>
      <c r="H142" s="82">
        <v>334.03</v>
      </c>
      <c r="I142" s="166">
        <f t="shared" si="4"/>
        <v>-6.92710191461543E-3</v>
      </c>
      <c r="J142" s="77"/>
      <c r="K142" s="77"/>
    </row>
    <row r="143" spans="1:11" ht="18">
      <c r="A143" s="237">
        <v>43008</v>
      </c>
      <c r="B143" s="238">
        <v>109.69</v>
      </c>
      <c r="C143" s="47">
        <f t="shared" si="5"/>
        <v>-3.361802653098378E-3</v>
      </c>
      <c r="G143" s="81">
        <v>43004</v>
      </c>
      <c r="H143" s="82">
        <v>334.7</v>
      </c>
      <c r="I143" s="166">
        <f t="shared" ref="I143:I206" si="6">H143/H142-1</f>
        <v>2.005807861569453E-3</v>
      </c>
      <c r="J143" s="77"/>
      <c r="K143" s="77"/>
    </row>
    <row r="144" spans="1:11" ht="18">
      <c r="A144" s="237">
        <v>43011</v>
      </c>
      <c r="B144" s="238">
        <v>109.16</v>
      </c>
      <c r="C144" s="47">
        <f t="shared" si="5"/>
        <v>-4.8317987054425915E-3</v>
      </c>
      <c r="G144" s="81">
        <v>43005</v>
      </c>
      <c r="H144" s="82">
        <v>332.91</v>
      </c>
      <c r="I144" s="166">
        <f t="shared" si="6"/>
        <v>-5.348072901105394E-3</v>
      </c>
      <c r="J144" s="77"/>
      <c r="K144" s="77"/>
    </row>
    <row r="145" spans="1:11" ht="18">
      <c r="A145" s="237">
        <v>43012</v>
      </c>
      <c r="B145" s="238">
        <v>109.23</v>
      </c>
      <c r="C145" s="47">
        <f t="shared" si="5"/>
        <v>6.4126053499458102E-4</v>
      </c>
      <c r="G145" s="81">
        <v>43006</v>
      </c>
      <c r="H145" s="82">
        <v>330.45</v>
      </c>
      <c r="I145" s="166">
        <f t="shared" si="6"/>
        <v>-7.3893845183383711E-3</v>
      </c>
      <c r="J145" s="77"/>
      <c r="K145" s="77"/>
    </row>
    <row r="146" spans="1:11" ht="18">
      <c r="A146" s="237">
        <v>43013</v>
      </c>
      <c r="B146" s="238">
        <v>109</v>
      </c>
      <c r="C146" s="47">
        <f t="shared" si="5"/>
        <v>-2.1056486313284495E-3</v>
      </c>
      <c r="G146" s="81">
        <v>43007</v>
      </c>
      <c r="H146" s="82">
        <v>331.89</v>
      </c>
      <c r="I146" s="166">
        <f t="shared" si="6"/>
        <v>4.3576940535632325E-3</v>
      </c>
      <c r="J146" s="77"/>
      <c r="K146" s="77"/>
    </row>
    <row r="147" spans="1:11" ht="18">
      <c r="A147" s="237">
        <v>43014</v>
      </c>
      <c r="B147" s="238">
        <v>109.12</v>
      </c>
      <c r="C147" s="47">
        <f t="shared" si="5"/>
        <v>1.1009174311926717E-3</v>
      </c>
      <c r="G147" s="81">
        <v>43008</v>
      </c>
      <c r="H147" s="82">
        <v>330.75</v>
      </c>
      <c r="I147" s="166">
        <f t="shared" si="6"/>
        <v>-3.4348730000903771E-3</v>
      </c>
      <c r="J147" s="77"/>
      <c r="K147" s="77"/>
    </row>
    <row r="148" spans="1:11" ht="18">
      <c r="A148" s="237">
        <v>43015</v>
      </c>
      <c r="B148" s="238">
        <v>108.85</v>
      </c>
      <c r="C148" s="47">
        <f t="shared" si="5"/>
        <v>-2.4743401759531602E-3</v>
      </c>
      <c r="G148" s="81">
        <v>43011</v>
      </c>
      <c r="H148" s="82">
        <v>328.07</v>
      </c>
      <c r="I148" s="166">
        <f t="shared" si="6"/>
        <v>-8.1027966742253099E-3</v>
      </c>
      <c r="J148" s="77"/>
      <c r="K148" s="77"/>
    </row>
    <row r="149" spans="1:11" ht="18">
      <c r="A149" s="237">
        <v>43018</v>
      </c>
      <c r="B149" s="238">
        <v>108.55</v>
      </c>
      <c r="C149" s="47">
        <f t="shared" si="5"/>
        <v>-2.7560863573724559E-3</v>
      </c>
      <c r="G149" s="81">
        <v>43012</v>
      </c>
      <c r="H149" s="82">
        <v>329.39</v>
      </c>
      <c r="I149" s="166">
        <f t="shared" si="6"/>
        <v>4.0235315633858626E-3</v>
      </c>
      <c r="J149" s="77"/>
      <c r="K149" s="77"/>
    </row>
    <row r="150" spans="1:11" ht="18">
      <c r="A150" s="237">
        <v>43019</v>
      </c>
      <c r="B150" s="238">
        <v>108.9</v>
      </c>
      <c r="C150" s="47">
        <f t="shared" si="5"/>
        <v>3.2243205895901017E-3</v>
      </c>
      <c r="G150" s="81">
        <v>43013</v>
      </c>
      <c r="H150" s="82">
        <v>327.22000000000003</v>
      </c>
      <c r="I150" s="166">
        <f t="shared" si="6"/>
        <v>-6.5879352742947983E-3</v>
      </c>
      <c r="J150" s="77"/>
      <c r="K150" s="77"/>
    </row>
    <row r="151" spans="1:11" ht="18">
      <c r="A151" s="237">
        <v>43020</v>
      </c>
      <c r="B151" s="238">
        <v>109.59</v>
      </c>
      <c r="C151" s="47">
        <f t="shared" ref="C151:C214" si="7">B151/B150-1</f>
        <v>6.3360881542700032E-3</v>
      </c>
      <c r="G151" s="81">
        <v>43014</v>
      </c>
      <c r="H151" s="82">
        <v>333.88</v>
      </c>
      <c r="I151" s="166">
        <f t="shared" si="6"/>
        <v>2.0353279139416758E-2</v>
      </c>
      <c r="J151" s="77"/>
      <c r="K151" s="77"/>
    </row>
    <row r="152" spans="1:11" ht="18">
      <c r="A152" s="237">
        <v>43021</v>
      </c>
      <c r="B152" s="238">
        <v>110.06</v>
      </c>
      <c r="C152" s="47">
        <f t="shared" si="7"/>
        <v>4.2887124737658322E-3</v>
      </c>
      <c r="G152" s="81">
        <v>43015</v>
      </c>
      <c r="H152" s="82">
        <v>334.74</v>
      </c>
      <c r="I152" s="166">
        <f t="shared" si="6"/>
        <v>2.5757757278064286E-3</v>
      </c>
      <c r="J152" s="77"/>
      <c r="K152" s="77"/>
    </row>
    <row r="153" spans="1:11" ht="18">
      <c r="A153" s="237">
        <v>43022</v>
      </c>
      <c r="B153" s="238">
        <v>109.93</v>
      </c>
      <c r="C153" s="47">
        <f t="shared" si="7"/>
        <v>-1.1811739051426073E-3</v>
      </c>
      <c r="G153" s="81">
        <v>43018</v>
      </c>
      <c r="H153" s="82">
        <v>335.98</v>
      </c>
      <c r="I153" s="166">
        <f t="shared" si="6"/>
        <v>3.7043675688595012E-3</v>
      </c>
      <c r="J153" s="77"/>
      <c r="K153" s="77"/>
    </row>
    <row r="154" spans="1:11" ht="18">
      <c r="A154" s="237">
        <v>43025</v>
      </c>
      <c r="B154" s="238">
        <v>109.57</v>
      </c>
      <c r="C154" s="47">
        <f t="shared" si="7"/>
        <v>-3.2748112435186938E-3</v>
      </c>
      <c r="G154" s="81">
        <v>43019</v>
      </c>
      <c r="H154" s="82">
        <v>333.96</v>
      </c>
      <c r="I154" s="166">
        <f t="shared" si="6"/>
        <v>-6.0122626346807984E-3</v>
      </c>
      <c r="J154" s="77"/>
      <c r="K154" s="77"/>
    </row>
    <row r="155" spans="1:11" ht="18">
      <c r="A155" s="237">
        <v>43026</v>
      </c>
      <c r="B155" s="238">
        <v>109.49</v>
      </c>
      <c r="C155" s="47">
        <f t="shared" si="7"/>
        <v>-7.3012685954187972E-4</v>
      </c>
      <c r="G155" s="81">
        <v>43020</v>
      </c>
      <c r="H155" s="82">
        <v>335.39</v>
      </c>
      <c r="I155" s="166">
        <f t="shared" si="6"/>
        <v>4.2819499341237854E-3</v>
      </c>
      <c r="J155" s="77"/>
      <c r="K155" s="77"/>
    </row>
    <row r="156" spans="1:11" ht="18">
      <c r="A156" s="237">
        <v>43027</v>
      </c>
      <c r="B156" s="238">
        <v>109.55</v>
      </c>
      <c r="C156" s="47">
        <f t="shared" si="7"/>
        <v>5.4799525070792221E-4</v>
      </c>
      <c r="G156" s="81">
        <v>43021</v>
      </c>
      <c r="H156" s="82">
        <v>336.43</v>
      </c>
      <c r="I156" s="166">
        <f t="shared" si="6"/>
        <v>3.100867646620431E-3</v>
      </c>
      <c r="J156" s="77"/>
      <c r="K156" s="77"/>
    </row>
    <row r="157" spans="1:11" ht="18">
      <c r="A157" s="237">
        <v>43028</v>
      </c>
      <c r="B157" s="238">
        <v>109.08</v>
      </c>
      <c r="C157" s="47">
        <f t="shared" si="7"/>
        <v>-4.2902784116841675E-3</v>
      </c>
      <c r="G157" s="81">
        <v>43022</v>
      </c>
      <c r="H157" s="82">
        <v>340.73</v>
      </c>
      <c r="I157" s="166">
        <f t="shared" si="6"/>
        <v>1.2781262075320265E-2</v>
      </c>
      <c r="J157" s="77"/>
      <c r="K157" s="77"/>
    </row>
    <row r="158" spans="1:11" ht="18">
      <c r="A158" s="237">
        <v>43029</v>
      </c>
      <c r="B158" s="238">
        <v>109.51</v>
      </c>
      <c r="C158" s="47">
        <f t="shared" si="7"/>
        <v>3.9420608727540607E-3</v>
      </c>
      <c r="G158" s="81">
        <v>43025</v>
      </c>
      <c r="H158" s="82">
        <v>340.99</v>
      </c>
      <c r="I158" s="166">
        <f t="shared" si="6"/>
        <v>7.630675314764801E-4</v>
      </c>
      <c r="J158" s="77"/>
      <c r="K158" s="77"/>
    </row>
    <row r="159" spans="1:11" ht="18">
      <c r="A159" s="237">
        <v>43032</v>
      </c>
      <c r="B159" s="238">
        <v>109.59</v>
      </c>
      <c r="C159" s="47">
        <f t="shared" si="7"/>
        <v>7.3052689252128822E-4</v>
      </c>
      <c r="G159" s="81">
        <v>43026</v>
      </c>
      <c r="H159" s="82">
        <v>343.88</v>
      </c>
      <c r="I159" s="166">
        <f t="shared" si="6"/>
        <v>8.4753218569459943E-3</v>
      </c>
      <c r="J159" s="77"/>
      <c r="K159" s="77"/>
    </row>
    <row r="160" spans="1:11" ht="18">
      <c r="A160" s="237">
        <v>43033</v>
      </c>
      <c r="B160" s="238">
        <v>109.82</v>
      </c>
      <c r="C160" s="47">
        <f t="shared" si="7"/>
        <v>2.0987316360980834E-3</v>
      </c>
      <c r="G160" s="81">
        <v>43027</v>
      </c>
      <c r="H160" s="82">
        <v>344.52</v>
      </c>
      <c r="I160" s="166">
        <f t="shared" si="6"/>
        <v>1.8611143422122556E-3</v>
      </c>
      <c r="J160" s="77"/>
      <c r="K160" s="77"/>
    </row>
    <row r="161" spans="1:11" ht="18">
      <c r="A161" s="237">
        <v>43034</v>
      </c>
      <c r="B161" s="238">
        <v>110.47</v>
      </c>
      <c r="C161" s="47">
        <f t="shared" si="7"/>
        <v>5.9187761792023341E-3</v>
      </c>
      <c r="G161" s="81">
        <v>43028</v>
      </c>
      <c r="H161" s="82">
        <v>342.55</v>
      </c>
      <c r="I161" s="166">
        <f t="shared" si="6"/>
        <v>-5.7181005456866663E-3</v>
      </c>
      <c r="J161" s="77"/>
      <c r="K161" s="77"/>
    </row>
    <row r="162" spans="1:11" ht="18">
      <c r="A162" s="237">
        <v>43035</v>
      </c>
      <c r="B162" s="238">
        <v>110.26</v>
      </c>
      <c r="C162" s="47">
        <f t="shared" si="7"/>
        <v>-1.9009685887571015E-3</v>
      </c>
      <c r="G162" s="81">
        <v>43029</v>
      </c>
      <c r="H162" s="82">
        <v>342.18</v>
      </c>
      <c r="I162" s="166">
        <f t="shared" si="6"/>
        <v>-1.0801342869654063E-3</v>
      </c>
      <c r="J162" s="77"/>
      <c r="K162" s="77"/>
    </row>
    <row r="163" spans="1:11" ht="18">
      <c r="A163" s="237">
        <v>43036</v>
      </c>
      <c r="B163" s="238">
        <v>109.89</v>
      </c>
      <c r="C163" s="47">
        <f t="shared" si="7"/>
        <v>-3.3557046979866278E-3</v>
      </c>
      <c r="G163" s="81">
        <v>43032</v>
      </c>
      <c r="H163" s="82">
        <v>342.85</v>
      </c>
      <c r="I163" s="166">
        <f t="shared" si="6"/>
        <v>1.9580337833888795E-3</v>
      </c>
      <c r="J163" s="77"/>
      <c r="K163" s="77"/>
    </row>
    <row r="164" spans="1:11" ht="18">
      <c r="A164" s="237">
        <v>43039</v>
      </c>
      <c r="B164" s="238">
        <v>109.23</v>
      </c>
      <c r="C164" s="47">
        <f t="shared" si="7"/>
        <v>-6.0060060060059817E-3</v>
      </c>
      <c r="G164" s="81">
        <v>43033</v>
      </c>
      <c r="H164" s="82">
        <v>342.14</v>
      </c>
      <c r="I164" s="166">
        <f t="shared" si="6"/>
        <v>-2.0708764765933196E-3</v>
      </c>
      <c r="J164" s="77"/>
      <c r="K164" s="77"/>
    </row>
    <row r="165" spans="1:11" ht="18">
      <c r="A165" s="237">
        <v>43040</v>
      </c>
      <c r="B165" s="238">
        <v>109.37</v>
      </c>
      <c r="C165" s="47">
        <f t="shared" si="7"/>
        <v>1.2816991668955779E-3</v>
      </c>
      <c r="G165" s="81">
        <v>43034</v>
      </c>
      <c r="H165" s="82">
        <v>339.39</v>
      </c>
      <c r="I165" s="166">
        <f t="shared" si="6"/>
        <v>-8.0376454083124216E-3</v>
      </c>
      <c r="J165" s="77"/>
      <c r="K165" s="77"/>
    </row>
    <row r="166" spans="1:11" ht="18">
      <c r="A166" s="237">
        <v>43041</v>
      </c>
      <c r="B166" s="238">
        <v>109.2</v>
      </c>
      <c r="C166" s="47">
        <f t="shared" si="7"/>
        <v>-1.5543567705952333E-3</v>
      </c>
      <c r="G166" s="81">
        <v>43035</v>
      </c>
      <c r="H166" s="82">
        <v>337.29</v>
      </c>
      <c r="I166" s="166">
        <f t="shared" si="6"/>
        <v>-6.1875718200299357E-3</v>
      </c>
      <c r="J166" s="77"/>
      <c r="K166" s="77"/>
    </row>
    <row r="167" spans="1:11" ht="18">
      <c r="A167" s="237">
        <v>43042</v>
      </c>
      <c r="B167" s="238">
        <v>109.99</v>
      </c>
      <c r="C167" s="47">
        <f t="shared" si="7"/>
        <v>7.2344322344322087E-3</v>
      </c>
      <c r="G167" s="81">
        <v>43036</v>
      </c>
      <c r="H167" s="82">
        <v>334.9</v>
      </c>
      <c r="I167" s="166">
        <f t="shared" si="6"/>
        <v>-7.0858904800025213E-3</v>
      </c>
      <c r="J167" s="77"/>
      <c r="K167" s="77"/>
    </row>
    <row r="168" spans="1:11" ht="18">
      <c r="A168" s="237">
        <v>43043</v>
      </c>
      <c r="B168" s="238">
        <v>110.82</v>
      </c>
      <c r="C168" s="47">
        <f t="shared" si="7"/>
        <v>7.5461405582326613E-3</v>
      </c>
      <c r="G168" s="81">
        <v>43039</v>
      </c>
      <c r="H168" s="82">
        <v>335.97</v>
      </c>
      <c r="I168" s="166">
        <f t="shared" si="6"/>
        <v>3.1949835771873936E-3</v>
      </c>
      <c r="J168" s="77"/>
      <c r="K168" s="77"/>
    </row>
    <row r="169" spans="1:11" ht="18">
      <c r="A169" s="237">
        <v>43046</v>
      </c>
      <c r="B169" s="238">
        <v>110.72</v>
      </c>
      <c r="C169" s="47">
        <f t="shared" si="7"/>
        <v>-9.0236419418876501E-4</v>
      </c>
      <c r="G169" s="81">
        <v>43040</v>
      </c>
      <c r="H169" s="82">
        <v>334.32</v>
      </c>
      <c r="I169" s="166">
        <f t="shared" si="6"/>
        <v>-4.9111527814984512E-3</v>
      </c>
      <c r="J169" s="77"/>
      <c r="K169" s="77"/>
    </row>
    <row r="170" spans="1:11" ht="18">
      <c r="A170" s="237">
        <v>43047</v>
      </c>
      <c r="B170" s="238">
        <v>110.92</v>
      </c>
      <c r="C170" s="47">
        <f t="shared" si="7"/>
        <v>1.8063583815028927E-3</v>
      </c>
      <c r="G170" s="81">
        <v>43041</v>
      </c>
      <c r="H170" s="82">
        <v>335.12</v>
      </c>
      <c r="I170" s="166">
        <f t="shared" si="6"/>
        <v>2.3929169657812555E-3</v>
      </c>
      <c r="J170" s="77"/>
      <c r="K170" s="77"/>
    </row>
    <row r="171" spans="1:11" ht="18">
      <c r="A171" s="237">
        <v>43048</v>
      </c>
      <c r="B171" s="238">
        <v>109.3</v>
      </c>
      <c r="C171" s="47">
        <f t="shared" si="7"/>
        <v>-1.4605120807789418E-2</v>
      </c>
      <c r="G171" s="81">
        <v>43042</v>
      </c>
      <c r="H171" s="82">
        <v>336.3</v>
      </c>
      <c r="I171" s="166">
        <f t="shared" si="6"/>
        <v>3.5211267605634866E-3</v>
      </c>
      <c r="J171" s="77"/>
      <c r="K171" s="77"/>
    </row>
    <row r="172" spans="1:11" ht="18">
      <c r="A172" s="237">
        <v>43049</v>
      </c>
      <c r="B172" s="238">
        <v>109.3</v>
      </c>
      <c r="C172" s="47">
        <f t="shared" si="7"/>
        <v>0</v>
      </c>
      <c r="G172" s="81">
        <v>43043</v>
      </c>
      <c r="H172" s="82">
        <v>335.24</v>
      </c>
      <c r="I172" s="166">
        <f t="shared" si="6"/>
        <v>-3.1519476657746459E-3</v>
      </c>
      <c r="J172" s="77"/>
      <c r="K172" s="77"/>
    </row>
    <row r="173" spans="1:11" ht="18">
      <c r="A173" s="237">
        <v>43050</v>
      </c>
      <c r="B173" s="238">
        <v>109.58</v>
      </c>
      <c r="C173" s="47">
        <f t="shared" si="7"/>
        <v>2.5617566331199715E-3</v>
      </c>
      <c r="G173" s="81">
        <v>43046</v>
      </c>
      <c r="H173" s="82">
        <v>337.32</v>
      </c>
      <c r="I173" s="166">
        <f t="shared" si="6"/>
        <v>6.2045102016465847E-3</v>
      </c>
      <c r="J173" s="77"/>
      <c r="K173" s="77"/>
    </row>
    <row r="174" spans="1:11" ht="18">
      <c r="A174" s="237">
        <v>43053</v>
      </c>
      <c r="B174" s="238">
        <v>109.29</v>
      </c>
      <c r="C174" s="47">
        <f t="shared" si="7"/>
        <v>-2.6464683336374639E-3</v>
      </c>
      <c r="G174" s="81">
        <v>43047</v>
      </c>
      <c r="H174" s="82">
        <v>338.32</v>
      </c>
      <c r="I174" s="166">
        <f t="shared" si="6"/>
        <v>2.9645440531247402E-3</v>
      </c>
      <c r="J174" s="77"/>
      <c r="K174" s="77"/>
    </row>
    <row r="175" spans="1:11" ht="18">
      <c r="A175" s="237">
        <v>43054</v>
      </c>
      <c r="B175" s="238">
        <v>109.04</v>
      </c>
      <c r="C175" s="47">
        <f t="shared" si="7"/>
        <v>-2.2874919937779792E-3</v>
      </c>
      <c r="G175" s="81">
        <v>43048</v>
      </c>
      <c r="H175" s="82">
        <v>338.97</v>
      </c>
      <c r="I175" s="166">
        <f t="shared" si="6"/>
        <v>1.9212579806102692E-3</v>
      </c>
      <c r="J175" s="77"/>
      <c r="K175" s="77"/>
    </row>
    <row r="176" spans="1:11" ht="18">
      <c r="A176" s="237">
        <v>43055</v>
      </c>
      <c r="B176" s="238">
        <v>109.16</v>
      </c>
      <c r="C176" s="47">
        <f t="shared" si="7"/>
        <v>1.1005135730006721E-3</v>
      </c>
      <c r="G176" s="81">
        <v>43049</v>
      </c>
      <c r="H176" s="82">
        <v>341.22</v>
      </c>
      <c r="I176" s="166">
        <f t="shared" si="6"/>
        <v>6.6377555535888089E-3</v>
      </c>
      <c r="J176" s="77"/>
      <c r="K176" s="77"/>
    </row>
    <row r="177" spans="1:11" ht="18">
      <c r="A177" s="237">
        <v>43056</v>
      </c>
      <c r="B177" s="238">
        <v>109.44</v>
      </c>
      <c r="C177" s="47">
        <f t="shared" si="7"/>
        <v>2.565042139978102E-3</v>
      </c>
      <c r="G177" s="81">
        <v>43050</v>
      </c>
      <c r="H177" s="82">
        <v>341.98</v>
      </c>
      <c r="I177" s="166">
        <f t="shared" si="6"/>
        <v>2.2273020338783311E-3</v>
      </c>
      <c r="J177" s="77"/>
      <c r="K177" s="77"/>
    </row>
    <row r="178" spans="1:11" ht="18">
      <c r="A178" s="237">
        <v>43057</v>
      </c>
      <c r="B178" s="238">
        <v>109.41</v>
      </c>
      <c r="C178" s="47">
        <f t="shared" si="7"/>
        <v>-2.7412280701755165E-4</v>
      </c>
      <c r="G178" s="81">
        <v>43053</v>
      </c>
      <c r="H178" s="82">
        <v>342.06</v>
      </c>
      <c r="I178" s="166">
        <f t="shared" si="6"/>
        <v>2.339318088777631E-4</v>
      </c>
      <c r="J178" s="77"/>
      <c r="K178" s="77"/>
    </row>
    <row r="179" spans="1:11" ht="18">
      <c r="A179" s="237">
        <v>43060</v>
      </c>
      <c r="B179" s="238">
        <v>108.28</v>
      </c>
      <c r="C179" s="47">
        <f t="shared" si="7"/>
        <v>-1.0328123571885506E-2</v>
      </c>
      <c r="G179" s="81">
        <v>43054</v>
      </c>
      <c r="H179" s="82">
        <v>342.54</v>
      </c>
      <c r="I179" s="166">
        <f t="shared" si="6"/>
        <v>1.4032625855113778E-3</v>
      </c>
      <c r="J179" s="77"/>
      <c r="K179" s="77"/>
    </row>
    <row r="180" spans="1:11" ht="18">
      <c r="A180" s="237">
        <v>43061</v>
      </c>
      <c r="B180" s="238">
        <v>107.6</v>
      </c>
      <c r="C180" s="47">
        <f t="shared" si="7"/>
        <v>-6.280014776505416E-3</v>
      </c>
      <c r="G180" s="81">
        <v>43055</v>
      </c>
      <c r="H180" s="82">
        <v>341.62</v>
      </c>
      <c r="I180" s="166">
        <f t="shared" si="6"/>
        <v>-2.6858177147195406E-3</v>
      </c>
      <c r="J180" s="77"/>
      <c r="K180" s="77"/>
    </row>
    <row r="181" spans="1:11" ht="18">
      <c r="A181" s="237">
        <v>43062</v>
      </c>
      <c r="B181" s="238">
        <v>107.77</v>
      </c>
      <c r="C181" s="47">
        <f t="shared" si="7"/>
        <v>1.5799256505575343E-3</v>
      </c>
      <c r="G181" s="81">
        <v>43056</v>
      </c>
      <c r="H181" s="82">
        <v>337.38</v>
      </c>
      <c r="I181" s="166">
        <f t="shared" si="6"/>
        <v>-1.2411451320180289E-2</v>
      </c>
      <c r="J181" s="77"/>
      <c r="K181" s="77"/>
    </row>
    <row r="182" spans="1:11" ht="18">
      <c r="A182" s="237">
        <v>43064</v>
      </c>
      <c r="B182" s="238">
        <v>106.57</v>
      </c>
      <c r="C182" s="47">
        <f t="shared" si="7"/>
        <v>-1.1134824162568502E-2</v>
      </c>
      <c r="G182" s="81">
        <v>43057</v>
      </c>
      <c r="H182" s="82">
        <v>337.02</v>
      </c>
      <c r="I182" s="166">
        <f t="shared" si="6"/>
        <v>-1.0670460608216414E-3</v>
      </c>
      <c r="J182" s="77"/>
      <c r="K182" s="77"/>
    </row>
    <row r="183" spans="1:11" ht="18">
      <c r="A183" s="237">
        <v>43067</v>
      </c>
      <c r="B183" s="238">
        <v>107.49</v>
      </c>
      <c r="C183" s="47">
        <f t="shared" si="7"/>
        <v>8.6328234962935735E-3</v>
      </c>
      <c r="G183" s="81">
        <v>43060</v>
      </c>
      <c r="H183" s="82">
        <v>333.63</v>
      </c>
      <c r="I183" s="166">
        <f t="shared" si="6"/>
        <v>-1.0058750222538659E-2</v>
      </c>
      <c r="J183" s="77"/>
      <c r="K183" s="77"/>
    </row>
    <row r="184" spans="1:11" ht="18">
      <c r="A184" s="237">
        <v>43068</v>
      </c>
      <c r="B184" s="238">
        <v>107.47</v>
      </c>
      <c r="C184" s="47">
        <f t="shared" si="7"/>
        <v>-1.8606381989016985E-4</v>
      </c>
      <c r="G184" s="81">
        <v>43061</v>
      </c>
      <c r="H184" s="82">
        <v>332.5</v>
      </c>
      <c r="I184" s="166">
        <f t="shared" si="6"/>
        <v>-3.3869855828312367E-3</v>
      </c>
      <c r="J184" s="77"/>
      <c r="K184" s="77"/>
    </row>
    <row r="185" spans="1:11" ht="18">
      <c r="A185" s="237">
        <v>43069</v>
      </c>
      <c r="B185" s="238">
        <v>107.86</v>
      </c>
      <c r="C185" s="47">
        <f t="shared" si="7"/>
        <v>3.6289196985204164E-3</v>
      </c>
      <c r="G185" s="81">
        <v>43062</v>
      </c>
      <c r="H185" s="82">
        <v>332.53</v>
      </c>
      <c r="I185" s="166">
        <f t="shared" si="6"/>
        <v>9.0225563909696049E-5</v>
      </c>
      <c r="J185" s="77"/>
      <c r="K185" s="77"/>
    </row>
    <row r="186" spans="1:11" ht="18">
      <c r="A186" s="237">
        <v>43070</v>
      </c>
      <c r="B186" s="238">
        <v>108.5</v>
      </c>
      <c r="C186" s="47">
        <f t="shared" si="7"/>
        <v>5.9336176525124351E-3</v>
      </c>
      <c r="G186" s="81">
        <v>43063</v>
      </c>
      <c r="H186" s="82">
        <v>333.41</v>
      </c>
      <c r="I186" s="166">
        <f t="shared" si="6"/>
        <v>2.6463777704268665E-3</v>
      </c>
      <c r="J186" s="77"/>
      <c r="K186" s="77"/>
    </row>
    <row r="187" spans="1:11" ht="18">
      <c r="A187" s="237">
        <v>43071</v>
      </c>
      <c r="B187" s="238">
        <v>108.64</v>
      </c>
      <c r="C187" s="47">
        <f t="shared" si="7"/>
        <v>1.290322580645098E-3</v>
      </c>
      <c r="G187" s="81">
        <v>43064</v>
      </c>
      <c r="H187" s="82">
        <v>325.05</v>
      </c>
      <c r="I187" s="166">
        <f t="shared" si="6"/>
        <v>-2.5074232926426965E-2</v>
      </c>
      <c r="J187" s="77"/>
      <c r="K187" s="77"/>
    </row>
    <row r="188" spans="1:11" ht="18">
      <c r="A188" s="237">
        <v>43074</v>
      </c>
      <c r="B188" s="238">
        <v>108.74</v>
      </c>
      <c r="C188" s="47">
        <f t="shared" si="7"/>
        <v>9.2047128129602029E-4</v>
      </c>
      <c r="G188" s="81">
        <v>43067</v>
      </c>
      <c r="H188" s="82">
        <v>323.91000000000003</v>
      </c>
      <c r="I188" s="166">
        <f t="shared" si="6"/>
        <v>-3.5071527457314344E-3</v>
      </c>
      <c r="J188" s="77"/>
      <c r="K188" s="77"/>
    </row>
    <row r="189" spans="1:11" ht="18">
      <c r="A189" s="237">
        <v>43075</v>
      </c>
      <c r="B189" s="238">
        <v>109.32</v>
      </c>
      <c r="C189" s="47">
        <f t="shared" si="7"/>
        <v>5.3338237998896698E-3</v>
      </c>
      <c r="G189" s="81">
        <v>43068</v>
      </c>
      <c r="H189" s="82">
        <v>322.83999999999997</v>
      </c>
      <c r="I189" s="166">
        <f t="shared" si="6"/>
        <v>-3.3033867432312736E-3</v>
      </c>
      <c r="J189" s="77"/>
      <c r="K189" s="77"/>
    </row>
    <row r="190" spans="1:11" ht="18">
      <c r="A190" s="237">
        <v>43076</v>
      </c>
      <c r="B190" s="238">
        <v>109.16</v>
      </c>
      <c r="C190" s="47">
        <f t="shared" si="7"/>
        <v>-1.4635931211123276E-3</v>
      </c>
      <c r="G190" s="81">
        <v>43069</v>
      </c>
      <c r="H190" s="82">
        <v>324.95999999999998</v>
      </c>
      <c r="I190" s="166">
        <f t="shared" si="6"/>
        <v>6.5667203568331445E-3</v>
      </c>
      <c r="J190" s="77"/>
      <c r="K190" s="77"/>
    </row>
    <row r="191" spans="1:11" ht="18">
      <c r="A191" s="237">
        <v>43077</v>
      </c>
      <c r="B191" s="238">
        <v>109.09</v>
      </c>
      <c r="C191" s="47">
        <f t="shared" si="7"/>
        <v>-6.4126053499447E-4</v>
      </c>
      <c r="G191" s="81">
        <v>43070</v>
      </c>
      <c r="H191" s="82">
        <v>326.52</v>
      </c>
      <c r="I191" s="166">
        <f t="shared" si="6"/>
        <v>4.8005908419497256E-3</v>
      </c>
      <c r="J191" s="77"/>
      <c r="K191" s="77"/>
    </row>
    <row r="192" spans="1:11" ht="18">
      <c r="A192" s="237">
        <v>43078</v>
      </c>
      <c r="B192" s="238">
        <v>109.11</v>
      </c>
      <c r="C192" s="47">
        <f t="shared" si="7"/>
        <v>1.8333486112376285E-4</v>
      </c>
      <c r="G192" s="81">
        <v>43071</v>
      </c>
      <c r="H192" s="82">
        <v>323.44</v>
      </c>
      <c r="I192" s="166">
        <f t="shared" si="6"/>
        <v>-9.4328065662133698E-3</v>
      </c>
      <c r="J192" s="77"/>
      <c r="K192" s="77"/>
    </row>
    <row r="193" spans="1:11" ht="18">
      <c r="A193" s="237">
        <v>43081</v>
      </c>
      <c r="B193" s="238">
        <v>109.56</v>
      </c>
      <c r="C193" s="47">
        <f t="shared" si="7"/>
        <v>4.1242782513060128E-3</v>
      </c>
      <c r="G193" s="81">
        <v>43074</v>
      </c>
      <c r="H193" s="82">
        <v>322.01</v>
      </c>
      <c r="I193" s="166">
        <f t="shared" si="6"/>
        <v>-4.4212218649517521E-3</v>
      </c>
      <c r="J193" s="77"/>
      <c r="K193" s="77"/>
    </row>
    <row r="194" spans="1:11" ht="18">
      <c r="A194" s="237">
        <v>43082</v>
      </c>
      <c r="B194" s="238">
        <v>109.28</v>
      </c>
      <c r="C194" s="47">
        <f t="shared" si="7"/>
        <v>-2.5556772544724771E-3</v>
      </c>
      <c r="G194" s="81">
        <v>43075</v>
      </c>
      <c r="H194" s="82">
        <v>326.63</v>
      </c>
      <c r="I194" s="166">
        <f t="shared" si="6"/>
        <v>1.4347380516133157E-2</v>
      </c>
      <c r="J194" s="77"/>
      <c r="K194" s="77"/>
    </row>
    <row r="195" spans="1:11" ht="18">
      <c r="A195" s="237">
        <v>43083</v>
      </c>
      <c r="B195" s="238">
        <v>108.93</v>
      </c>
      <c r="C195" s="47">
        <f t="shared" si="7"/>
        <v>-3.2027818448022716E-3</v>
      </c>
      <c r="G195" s="81">
        <v>43076</v>
      </c>
      <c r="H195" s="82">
        <v>328.96</v>
      </c>
      <c r="I195" s="166">
        <f t="shared" si="6"/>
        <v>7.1334537550131749E-3</v>
      </c>
      <c r="J195" s="77"/>
      <c r="K195" s="77"/>
    </row>
    <row r="196" spans="1:11" ht="18">
      <c r="A196" s="237">
        <v>43084</v>
      </c>
      <c r="B196" s="238">
        <v>108.67</v>
      </c>
      <c r="C196" s="47">
        <f t="shared" si="7"/>
        <v>-2.3868539428991697E-3</v>
      </c>
      <c r="G196" s="81">
        <v>43077</v>
      </c>
      <c r="H196" s="82">
        <v>329.87</v>
      </c>
      <c r="I196" s="166">
        <f t="shared" si="6"/>
        <v>2.7662937743191396E-3</v>
      </c>
      <c r="J196" s="77"/>
      <c r="K196" s="77"/>
    </row>
    <row r="197" spans="1:11" ht="18">
      <c r="A197" s="237">
        <v>43085</v>
      </c>
      <c r="B197" s="238">
        <v>108.48</v>
      </c>
      <c r="C197" s="47">
        <f t="shared" si="7"/>
        <v>-1.7484126253796139E-3</v>
      </c>
      <c r="G197" s="81">
        <v>43078</v>
      </c>
      <c r="H197" s="82">
        <v>328.36</v>
      </c>
      <c r="I197" s="166">
        <f t="shared" si="6"/>
        <v>-4.5775608573074278E-3</v>
      </c>
      <c r="J197" s="77"/>
      <c r="K197" s="77"/>
    </row>
    <row r="198" spans="1:11" ht="18">
      <c r="A198" s="237">
        <v>43088</v>
      </c>
      <c r="B198" s="238">
        <v>107.9</v>
      </c>
      <c r="C198" s="47">
        <f t="shared" si="7"/>
        <v>-5.3466076696164766E-3</v>
      </c>
      <c r="G198" s="81">
        <v>43081</v>
      </c>
      <c r="H198" s="82">
        <v>326.16000000000003</v>
      </c>
      <c r="I198" s="166">
        <f t="shared" si="6"/>
        <v>-6.6999634547447728E-3</v>
      </c>
      <c r="J198" s="77"/>
      <c r="K198" s="77"/>
    </row>
    <row r="199" spans="1:11" ht="18">
      <c r="A199" s="237">
        <v>43089</v>
      </c>
      <c r="B199" s="238">
        <v>108.22</v>
      </c>
      <c r="C199" s="47">
        <f t="shared" si="7"/>
        <v>2.9657089898054156E-3</v>
      </c>
      <c r="G199" s="81">
        <v>43082</v>
      </c>
      <c r="H199" s="82">
        <v>324.17</v>
      </c>
      <c r="I199" s="166">
        <f t="shared" si="6"/>
        <v>-6.101299975472152E-3</v>
      </c>
      <c r="J199" s="77"/>
      <c r="K199" s="77"/>
    </row>
    <row r="200" spans="1:11" ht="18">
      <c r="A200" s="237">
        <v>43090</v>
      </c>
      <c r="B200" s="238">
        <v>108.34</v>
      </c>
      <c r="C200" s="47">
        <f t="shared" si="7"/>
        <v>1.1088523378304238E-3</v>
      </c>
      <c r="G200" s="81">
        <v>43083</v>
      </c>
      <c r="H200" s="82">
        <v>321.58999999999997</v>
      </c>
      <c r="I200" s="166">
        <f t="shared" si="6"/>
        <v>-7.9587870561743657E-3</v>
      </c>
      <c r="J200" s="77"/>
      <c r="K200" s="77"/>
    </row>
    <row r="201" spans="1:11" ht="18">
      <c r="A201" s="237">
        <v>43091</v>
      </c>
      <c r="B201" s="238">
        <v>108.5</v>
      </c>
      <c r="C201" s="47">
        <f t="shared" si="7"/>
        <v>1.4768321949418795E-3</v>
      </c>
      <c r="G201" s="81">
        <v>43084</v>
      </c>
      <c r="H201" s="82">
        <v>323.85000000000002</v>
      </c>
      <c r="I201" s="166">
        <f t="shared" si="6"/>
        <v>7.0275817034113341E-3</v>
      </c>
      <c r="J201" s="77"/>
      <c r="K201" s="77"/>
    </row>
    <row r="202" spans="1:11" ht="18">
      <c r="A202" s="237">
        <v>43095</v>
      </c>
      <c r="B202" s="238">
        <v>108.9</v>
      </c>
      <c r="C202" s="47">
        <f t="shared" si="7"/>
        <v>3.6866359447005337E-3</v>
      </c>
      <c r="G202" s="81">
        <v>43085</v>
      </c>
      <c r="H202" s="82">
        <v>321.5</v>
      </c>
      <c r="I202" s="166">
        <f t="shared" si="6"/>
        <v>-7.256445885440832E-3</v>
      </c>
      <c r="J202" s="77"/>
      <c r="K202" s="77"/>
    </row>
    <row r="203" spans="1:11" ht="18">
      <c r="A203" s="237">
        <v>43096</v>
      </c>
      <c r="B203" s="238">
        <v>108.8</v>
      </c>
      <c r="C203" s="47">
        <f t="shared" si="7"/>
        <v>-9.182736455464191E-4</v>
      </c>
      <c r="G203" s="81">
        <v>43088</v>
      </c>
      <c r="H203" s="82">
        <v>314.64</v>
      </c>
      <c r="I203" s="166">
        <f t="shared" si="6"/>
        <v>-2.133748055987561E-2</v>
      </c>
      <c r="J203" s="77"/>
      <c r="K203" s="77"/>
    </row>
    <row r="204" spans="1:11" ht="18">
      <c r="A204" s="237">
        <v>43097</v>
      </c>
      <c r="B204" s="238">
        <v>108.69</v>
      </c>
      <c r="C204" s="47">
        <f t="shared" si="7"/>
        <v>-1.0110294117646745E-3</v>
      </c>
      <c r="G204" s="81">
        <v>43089</v>
      </c>
      <c r="H204" s="82">
        <v>319.60000000000002</v>
      </c>
      <c r="I204" s="166">
        <f t="shared" si="6"/>
        <v>1.5764047800661096E-2</v>
      </c>
      <c r="J204" s="77"/>
      <c r="K204" s="77"/>
    </row>
    <row r="205" spans="1:11" ht="18">
      <c r="A205" s="237">
        <v>43098</v>
      </c>
      <c r="B205" s="238">
        <v>109.2</v>
      </c>
      <c r="C205" s="47">
        <f t="shared" si="7"/>
        <v>4.6922439966878837E-3</v>
      </c>
      <c r="G205" s="81">
        <v>43090</v>
      </c>
      <c r="H205" s="82">
        <v>320.72000000000003</v>
      </c>
      <c r="I205" s="166">
        <f t="shared" si="6"/>
        <v>3.5043804755945374E-3</v>
      </c>
      <c r="J205" s="77"/>
      <c r="K205" s="77"/>
    </row>
    <row r="206" spans="1:11" ht="18">
      <c r="A206" s="237">
        <v>43099</v>
      </c>
      <c r="B206" s="238">
        <v>109.06</v>
      </c>
      <c r="C206" s="47">
        <f t="shared" si="7"/>
        <v>-1.2820512820512775E-3</v>
      </c>
      <c r="G206" s="81">
        <v>43091</v>
      </c>
      <c r="H206" s="82">
        <v>323.51</v>
      </c>
      <c r="I206" s="166">
        <f t="shared" si="6"/>
        <v>8.6991768520827684E-3</v>
      </c>
      <c r="J206" s="77"/>
      <c r="K206" s="77"/>
    </row>
    <row r="207" spans="1:11" ht="18">
      <c r="A207" s="237">
        <v>43102</v>
      </c>
      <c r="B207" s="238">
        <v>107.98</v>
      </c>
      <c r="C207" s="47">
        <f t="shared" si="7"/>
        <v>-9.9028057949752668E-3</v>
      </c>
      <c r="G207" s="81">
        <v>43092</v>
      </c>
      <c r="H207" s="82">
        <v>323.61</v>
      </c>
      <c r="I207" s="166">
        <f t="shared" ref="I207:I270" si="8">H207/H206-1</f>
        <v>3.0910945565842951E-4</v>
      </c>
      <c r="J207" s="77"/>
      <c r="K207" s="77"/>
    </row>
    <row r="208" spans="1:11" ht="18">
      <c r="A208" s="237">
        <v>43103</v>
      </c>
      <c r="B208" s="238">
        <v>107.92</v>
      </c>
      <c r="C208" s="47">
        <f t="shared" si="7"/>
        <v>-5.5565845526950319E-4</v>
      </c>
      <c r="G208" s="81">
        <v>43095</v>
      </c>
      <c r="H208" s="82">
        <v>324.19</v>
      </c>
      <c r="I208" s="166">
        <f t="shared" si="8"/>
        <v>1.7922808318655559E-3</v>
      </c>
      <c r="J208" s="77"/>
      <c r="K208" s="77"/>
    </row>
    <row r="209" spans="1:11" ht="18">
      <c r="A209" s="237">
        <v>43104</v>
      </c>
      <c r="B209" s="238">
        <v>106.89</v>
      </c>
      <c r="C209" s="47">
        <f t="shared" si="7"/>
        <v>-9.5441067457375794E-3</v>
      </c>
      <c r="G209" s="81">
        <v>43096</v>
      </c>
      <c r="H209" s="82">
        <v>324.95</v>
      </c>
      <c r="I209" s="166">
        <f t="shared" si="8"/>
        <v>2.3443042660167279E-3</v>
      </c>
      <c r="J209" s="77"/>
      <c r="K209" s="77"/>
    </row>
    <row r="210" spans="1:11" ht="18">
      <c r="A210" s="237">
        <v>43105</v>
      </c>
      <c r="B210" s="238">
        <v>106.79</v>
      </c>
      <c r="C210" s="47">
        <f t="shared" si="7"/>
        <v>-9.3554121059025164E-4</v>
      </c>
      <c r="G210" s="81">
        <v>43097</v>
      </c>
      <c r="H210" s="82">
        <v>322.89999999999998</v>
      </c>
      <c r="I210" s="166">
        <f t="shared" si="8"/>
        <v>-6.3086628712110127E-3</v>
      </c>
      <c r="J210" s="77"/>
      <c r="K210" s="77"/>
    </row>
    <row r="211" spans="1:11" ht="18">
      <c r="A211" s="237">
        <v>43106</v>
      </c>
      <c r="B211" s="238">
        <v>106.58</v>
      </c>
      <c r="C211" s="47">
        <f t="shared" si="7"/>
        <v>-1.9664762618223364E-3</v>
      </c>
      <c r="G211" s="81">
        <v>43098</v>
      </c>
      <c r="H211" s="82">
        <v>325.86</v>
      </c>
      <c r="I211" s="166">
        <f t="shared" si="8"/>
        <v>9.16692474450298E-3</v>
      </c>
      <c r="J211" s="77"/>
      <c r="K211" s="77"/>
    </row>
    <row r="212" spans="1:11" ht="18">
      <c r="A212" s="237">
        <v>43109</v>
      </c>
      <c r="B212" s="238">
        <v>106.22</v>
      </c>
      <c r="C212" s="47">
        <f t="shared" si="7"/>
        <v>-3.3777444173390681E-3</v>
      </c>
      <c r="G212" s="81">
        <v>43099</v>
      </c>
      <c r="H212" s="82">
        <v>327.39</v>
      </c>
      <c r="I212" s="166">
        <f t="shared" si="8"/>
        <v>4.6952679064629077E-3</v>
      </c>
      <c r="J212" s="77"/>
      <c r="K212" s="77"/>
    </row>
    <row r="213" spans="1:11" ht="18">
      <c r="A213" s="237">
        <v>43110</v>
      </c>
      <c r="B213" s="238">
        <v>106.44</v>
      </c>
      <c r="C213" s="47">
        <f t="shared" si="7"/>
        <v>2.0711730370928105E-3</v>
      </c>
      <c r="G213" s="81">
        <v>43102</v>
      </c>
      <c r="H213" s="82">
        <v>328.07</v>
      </c>
      <c r="I213" s="166">
        <f t="shared" si="8"/>
        <v>2.0770335074375978E-3</v>
      </c>
      <c r="J213" s="77"/>
      <c r="K213" s="77"/>
    </row>
    <row r="214" spans="1:11" ht="18">
      <c r="A214" s="237">
        <v>43111</v>
      </c>
      <c r="B214" s="238">
        <v>106.22</v>
      </c>
      <c r="C214" s="47">
        <f t="shared" si="7"/>
        <v>-2.0668921458097955E-3</v>
      </c>
      <c r="G214" s="81">
        <v>43103</v>
      </c>
      <c r="H214" s="82">
        <v>327.93</v>
      </c>
      <c r="I214" s="166">
        <f t="shared" si="8"/>
        <v>-4.2673819611660502E-4</v>
      </c>
      <c r="J214" s="77"/>
      <c r="K214" s="77"/>
    </row>
    <row r="215" spans="1:11" ht="18">
      <c r="A215" s="237">
        <v>43112</v>
      </c>
      <c r="B215" s="238">
        <v>105.86</v>
      </c>
      <c r="C215" s="47">
        <f t="shared" ref="C215:C278" si="9">B215/B214-1</f>
        <v>-3.3891922425155485E-3</v>
      </c>
      <c r="G215" s="81">
        <v>43104</v>
      </c>
      <c r="H215" s="82">
        <v>325.45999999999998</v>
      </c>
      <c r="I215" s="166">
        <f t="shared" si="8"/>
        <v>-7.5320952642332628E-3</v>
      </c>
      <c r="J215" s="77"/>
      <c r="K215" s="77"/>
    </row>
    <row r="216" spans="1:11" ht="18">
      <c r="A216" s="237">
        <v>43113</v>
      </c>
      <c r="B216" s="238">
        <v>104.93</v>
      </c>
      <c r="C216" s="47">
        <f t="shared" si="9"/>
        <v>-8.7851879841298608E-3</v>
      </c>
      <c r="G216" s="81">
        <v>43105</v>
      </c>
      <c r="H216" s="82">
        <v>324.43</v>
      </c>
      <c r="I216" s="166">
        <f t="shared" si="8"/>
        <v>-3.164751428746948E-3</v>
      </c>
      <c r="J216" s="77"/>
      <c r="K216" s="77"/>
    </row>
    <row r="217" spans="1:11" ht="18">
      <c r="A217" s="237">
        <v>43117</v>
      </c>
      <c r="B217" s="238">
        <v>103.96</v>
      </c>
      <c r="C217" s="47">
        <f t="shared" si="9"/>
        <v>-9.2442580768132832E-3</v>
      </c>
      <c r="G217" s="81">
        <v>43106</v>
      </c>
      <c r="H217" s="82">
        <v>325.81</v>
      </c>
      <c r="I217" s="166">
        <f t="shared" si="8"/>
        <v>4.2536140307616321E-3</v>
      </c>
      <c r="J217" s="77"/>
      <c r="K217" s="77"/>
    </row>
    <row r="218" spans="1:11" ht="18">
      <c r="A218" s="237">
        <v>43118</v>
      </c>
      <c r="B218" s="238">
        <v>104.66</v>
      </c>
      <c r="C218" s="47">
        <f t="shared" si="9"/>
        <v>6.7333589842246688E-3</v>
      </c>
      <c r="G218" s="81">
        <v>43109</v>
      </c>
      <c r="H218" s="82">
        <v>328.12</v>
      </c>
      <c r="I218" s="166">
        <f t="shared" si="8"/>
        <v>7.0900217918419273E-3</v>
      </c>
      <c r="J218" s="77"/>
      <c r="K218" s="77"/>
    </row>
    <row r="219" spans="1:11" ht="18">
      <c r="A219" s="237">
        <v>43119</v>
      </c>
      <c r="B219" s="238">
        <v>105.03</v>
      </c>
      <c r="C219" s="47">
        <f t="shared" si="9"/>
        <v>3.535257022740268E-3</v>
      </c>
      <c r="G219" s="81">
        <v>43110</v>
      </c>
      <c r="H219" s="82">
        <v>330.92</v>
      </c>
      <c r="I219" s="166">
        <f t="shared" si="8"/>
        <v>8.5334633670608451E-3</v>
      </c>
      <c r="J219" s="77"/>
      <c r="K219" s="77"/>
    </row>
    <row r="220" spans="1:11" ht="18">
      <c r="A220" s="237">
        <v>43120</v>
      </c>
      <c r="B220" s="238">
        <v>105.59</v>
      </c>
      <c r="C220" s="47">
        <f t="shared" si="9"/>
        <v>5.3318099590593526E-3</v>
      </c>
      <c r="G220" s="81">
        <v>43111</v>
      </c>
      <c r="H220" s="82">
        <v>336.3</v>
      </c>
      <c r="I220" s="166">
        <f t="shared" si="8"/>
        <v>1.6257705789918919E-2</v>
      </c>
      <c r="J220" s="77"/>
      <c r="K220" s="77"/>
    </row>
    <row r="221" spans="1:11" ht="18">
      <c r="A221" s="237">
        <v>43123</v>
      </c>
      <c r="B221" s="238">
        <v>104.88</v>
      </c>
      <c r="C221" s="47">
        <f t="shared" si="9"/>
        <v>-6.7241216024245265E-3</v>
      </c>
      <c r="G221" s="81">
        <v>43112</v>
      </c>
      <c r="H221" s="82">
        <v>334.62</v>
      </c>
      <c r="I221" s="166">
        <f t="shared" si="8"/>
        <v>-4.9955396966994137E-3</v>
      </c>
      <c r="J221" s="77"/>
      <c r="K221" s="77"/>
    </row>
    <row r="222" spans="1:11" ht="18">
      <c r="A222" s="237">
        <v>43124</v>
      </c>
      <c r="B222" s="238">
        <v>105.04</v>
      </c>
      <c r="C222" s="47">
        <f t="shared" si="9"/>
        <v>1.5255530129671957E-3</v>
      </c>
      <c r="G222" s="81">
        <v>43113</v>
      </c>
      <c r="H222" s="82">
        <v>333.92</v>
      </c>
      <c r="I222" s="166">
        <f t="shared" si="8"/>
        <v>-2.0919251688482632E-3</v>
      </c>
      <c r="J222" s="77"/>
      <c r="K222" s="77"/>
    </row>
    <row r="223" spans="1:11" ht="18">
      <c r="A223" s="237">
        <v>43125</v>
      </c>
      <c r="B223" s="238">
        <v>104.49</v>
      </c>
      <c r="C223" s="47">
        <f t="shared" si="9"/>
        <v>-5.2361005331303945E-3</v>
      </c>
      <c r="G223" s="81">
        <v>43116</v>
      </c>
      <c r="H223" s="82">
        <v>334.06</v>
      </c>
      <c r="I223" s="166">
        <f t="shared" si="8"/>
        <v>4.192620987062412E-4</v>
      </c>
      <c r="J223" s="77"/>
      <c r="K223" s="77"/>
    </row>
    <row r="224" spans="1:11" ht="18">
      <c r="A224" s="237">
        <v>43126</v>
      </c>
      <c r="B224" s="238">
        <v>105.08</v>
      </c>
      <c r="C224" s="47">
        <f t="shared" si="9"/>
        <v>5.6464733467318506E-3</v>
      </c>
      <c r="G224" s="81">
        <v>43117</v>
      </c>
      <c r="H224" s="82">
        <v>330.6</v>
      </c>
      <c r="I224" s="166">
        <f t="shared" si="8"/>
        <v>-1.0357420822606711E-2</v>
      </c>
      <c r="J224" s="77"/>
      <c r="K224" s="77"/>
    </row>
    <row r="225" spans="1:11" ht="18">
      <c r="A225" s="237">
        <v>43127</v>
      </c>
      <c r="B225" s="238">
        <v>105.41</v>
      </c>
      <c r="C225" s="47">
        <f t="shared" si="9"/>
        <v>3.1404644080699207E-3</v>
      </c>
      <c r="G225" s="81">
        <v>43118</v>
      </c>
      <c r="H225" s="82">
        <v>330.67</v>
      </c>
      <c r="I225" s="166">
        <f t="shared" si="8"/>
        <v>2.1173623714454415E-4</v>
      </c>
      <c r="J225" s="77"/>
      <c r="K225" s="77"/>
    </row>
    <row r="226" spans="1:11" ht="18">
      <c r="A226" s="237">
        <v>43130</v>
      </c>
      <c r="B226" s="238">
        <v>105.38</v>
      </c>
      <c r="C226" s="47">
        <f t="shared" si="9"/>
        <v>-2.8460297884447261E-4</v>
      </c>
      <c r="G226" s="81">
        <v>43119</v>
      </c>
      <c r="H226" s="82">
        <v>334.27</v>
      </c>
      <c r="I226" s="166">
        <f t="shared" si="8"/>
        <v>1.0886987026340389E-2</v>
      </c>
      <c r="J226" s="77"/>
      <c r="K226" s="77"/>
    </row>
    <row r="227" spans="1:11" ht="18">
      <c r="A227" s="237">
        <v>43131</v>
      </c>
      <c r="B227" s="238">
        <v>105.28</v>
      </c>
      <c r="C227" s="47">
        <f t="shared" si="9"/>
        <v>-9.489466691970927E-4</v>
      </c>
      <c r="G227" s="81">
        <v>43120</v>
      </c>
      <c r="H227" s="82">
        <v>330.67</v>
      </c>
      <c r="I227" s="166">
        <f t="shared" si="8"/>
        <v>-1.0769737038920479E-2</v>
      </c>
      <c r="J227" s="77"/>
      <c r="K227" s="77"/>
    </row>
    <row r="228" spans="1:11" ht="18">
      <c r="A228" s="237">
        <v>43132</v>
      </c>
      <c r="B228" s="238">
        <v>105.76</v>
      </c>
      <c r="C228" s="47">
        <f t="shared" si="9"/>
        <v>4.5592705167174508E-3</v>
      </c>
      <c r="G228" s="81">
        <v>43123</v>
      </c>
      <c r="H228" s="82">
        <v>325.07</v>
      </c>
      <c r="I228" s="166">
        <f t="shared" si="8"/>
        <v>-1.6935313152085185E-2</v>
      </c>
      <c r="J228" s="77"/>
      <c r="K228" s="77"/>
    </row>
    <row r="229" spans="1:11" ht="18">
      <c r="A229" s="237">
        <v>43133</v>
      </c>
      <c r="B229" s="238">
        <v>104.85</v>
      </c>
      <c r="C229" s="47">
        <f t="shared" si="9"/>
        <v>-8.6043872919819853E-3</v>
      </c>
      <c r="G229" s="81">
        <v>43124</v>
      </c>
      <c r="H229" s="82">
        <v>322.73</v>
      </c>
      <c r="I229" s="166">
        <f t="shared" si="8"/>
        <v>-7.198449564709053E-3</v>
      </c>
      <c r="J229" s="77"/>
      <c r="K229" s="77"/>
    </row>
    <row r="230" spans="1:11" ht="18">
      <c r="A230" s="237">
        <v>43134</v>
      </c>
      <c r="B230" s="238">
        <v>104.35</v>
      </c>
      <c r="C230" s="47">
        <f t="shared" si="9"/>
        <v>-4.7687172150691071E-3</v>
      </c>
      <c r="G230" s="81">
        <v>43125</v>
      </c>
      <c r="H230" s="82">
        <v>322.88</v>
      </c>
      <c r="I230" s="166">
        <f t="shared" si="8"/>
        <v>4.647848046352987E-4</v>
      </c>
      <c r="J230" s="77"/>
      <c r="K230" s="77"/>
    </row>
    <row r="231" spans="1:11" ht="18">
      <c r="A231" s="237">
        <v>43137</v>
      </c>
      <c r="B231" s="238">
        <v>104.23</v>
      </c>
      <c r="C231" s="47">
        <f t="shared" si="9"/>
        <v>-1.1499760421657124E-3</v>
      </c>
      <c r="G231" s="81">
        <v>43126</v>
      </c>
      <c r="H231" s="82">
        <v>319.26</v>
      </c>
      <c r="I231" s="166">
        <f t="shared" si="8"/>
        <v>-1.1211595639246785E-2</v>
      </c>
      <c r="J231" s="77"/>
      <c r="K231" s="77"/>
    </row>
    <row r="232" spans="1:11" ht="18">
      <c r="A232" s="237">
        <v>43138</v>
      </c>
      <c r="B232" s="238">
        <v>103.96</v>
      </c>
      <c r="C232" s="47">
        <f t="shared" si="9"/>
        <v>-2.5904250215870173E-3</v>
      </c>
      <c r="G232" s="81">
        <v>43127</v>
      </c>
      <c r="H232" s="82">
        <v>318.61</v>
      </c>
      <c r="I232" s="166">
        <f t="shared" si="8"/>
        <v>-2.0359581532293225E-3</v>
      </c>
      <c r="J232" s="77"/>
      <c r="K232" s="77"/>
    </row>
    <row r="233" spans="1:11" ht="18">
      <c r="A233" s="237">
        <v>43139</v>
      </c>
      <c r="B233" s="238">
        <v>104.33</v>
      </c>
      <c r="C233" s="47">
        <f t="shared" si="9"/>
        <v>3.5590611773759218E-3</v>
      </c>
      <c r="G233" s="81">
        <v>43130</v>
      </c>
      <c r="H233" s="82">
        <v>324.16000000000003</v>
      </c>
      <c r="I233" s="166">
        <f t="shared" si="8"/>
        <v>1.7419415586453768E-2</v>
      </c>
      <c r="J233" s="77"/>
      <c r="K233" s="77"/>
    </row>
    <row r="234" spans="1:11" ht="18">
      <c r="A234" s="237">
        <v>43140</v>
      </c>
      <c r="B234" s="238">
        <v>102.96</v>
      </c>
      <c r="C234" s="47">
        <f t="shared" si="9"/>
        <v>-1.3131409949199702E-2</v>
      </c>
      <c r="G234" s="81">
        <v>43131</v>
      </c>
      <c r="H234" s="82">
        <v>325.95999999999998</v>
      </c>
      <c r="I234" s="166">
        <f t="shared" si="8"/>
        <v>5.5528134254687611E-3</v>
      </c>
      <c r="J234" s="77"/>
      <c r="K234" s="77"/>
    </row>
    <row r="235" spans="1:11" ht="18">
      <c r="A235" s="237">
        <v>43141</v>
      </c>
      <c r="B235" s="238">
        <v>102.36</v>
      </c>
      <c r="C235" s="47">
        <f t="shared" si="9"/>
        <v>-5.8275058275057967E-3</v>
      </c>
      <c r="G235" s="81">
        <v>43132</v>
      </c>
      <c r="H235" s="82">
        <v>325.51</v>
      </c>
      <c r="I235" s="166">
        <f t="shared" si="8"/>
        <v>-1.3805374892624789E-3</v>
      </c>
      <c r="J235" s="77"/>
      <c r="K235" s="77"/>
    </row>
    <row r="236" spans="1:11" ht="18">
      <c r="A236" s="237">
        <v>43144</v>
      </c>
      <c r="B236" s="238">
        <v>102.75</v>
      </c>
      <c r="C236" s="47">
        <f t="shared" si="9"/>
        <v>3.8100820633060195E-3</v>
      </c>
      <c r="G236" s="81">
        <v>43133</v>
      </c>
      <c r="H236" s="82">
        <v>324.19</v>
      </c>
      <c r="I236" s="166">
        <f t="shared" si="8"/>
        <v>-4.0551749562225403E-3</v>
      </c>
      <c r="J236" s="77"/>
      <c r="K236" s="77"/>
    </row>
    <row r="237" spans="1:11" ht="18">
      <c r="A237" s="237">
        <v>43145</v>
      </c>
      <c r="B237" s="238">
        <v>103.14</v>
      </c>
      <c r="C237" s="47">
        <f t="shared" si="9"/>
        <v>3.7956204379561154E-3</v>
      </c>
      <c r="G237" s="81">
        <v>43134</v>
      </c>
      <c r="H237" s="82">
        <v>325.60000000000002</v>
      </c>
      <c r="I237" s="166">
        <f t="shared" si="8"/>
        <v>4.3493013356366017E-3</v>
      </c>
      <c r="J237" s="77"/>
      <c r="K237" s="77"/>
    </row>
    <row r="238" spans="1:11" ht="18">
      <c r="A238" s="237">
        <v>43146</v>
      </c>
      <c r="B238" s="238">
        <v>103.44</v>
      </c>
      <c r="C238" s="47">
        <f t="shared" si="9"/>
        <v>2.9086678301337709E-3</v>
      </c>
      <c r="G238" s="81">
        <v>43137</v>
      </c>
      <c r="H238" s="82">
        <v>325.87</v>
      </c>
      <c r="I238" s="166">
        <f t="shared" si="8"/>
        <v>8.292383292383132E-4</v>
      </c>
      <c r="J238" s="77"/>
      <c r="K238" s="77"/>
    </row>
    <row r="239" spans="1:11" ht="18">
      <c r="A239" s="237">
        <v>43147</v>
      </c>
      <c r="B239" s="238">
        <v>102.96</v>
      </c>
      <c r="C239" s="47">
        <f t="shared" si="9"/>
        <v>-4.6403712296984034E-3</v>
      </c>
      <c r="G239" s="81">
        <v>43138</v>
      </c>
      <c r="H239" s="82">
        <v>327.07</v>
      </c>
      <c r="I239" s="166">
        <f t="shared" si="8"/>
        <v>3.6824500567711471E-3</v>
      </c>
      <c r="J239" s="77"/>
      <c r="K239" s="77"/>
    </row>
    <row r="240" spans="1:11" ht="18">
      <c r="A240" s="237">
        <v>43148</v>
      </c>
      <c r="B240" s="238">
        <v>103</v>
      </c>
      <c r="C240" s="47">
        <f t="shared" si="9"/>
        <v>3.8850038850046786E-4</v>
      </c>
      <c r="G240" s="81">
        <v>43139</v>
      </c>
      <c r="H240" s="82">
        <v>331.92</v>
      </c>
      <c r="I240" s="166">
        <f t="shared" si="8"/>
        <v>1.4828629956890049E-2</v>
      </c>
      <c r="J240" s="77"/>
      <c r="K240" s="77"/>
    </row>
    <row r="241" spans="1:11" ht="18">
      <c r="A241" s="237">
        <v>43152</v>
      </c>
      <c r="B241" s="238">
        <v>101.7</v>
      </c>
      <c r="C241" s="47">
        <f t="shared" si="9"/>
        <v>-1.2621359223300987E-2</v>
      </c>
      <c r="G241" s="81">
        <v>43140</v>
      </c>
      <c r="H241" s="82">
        <v>333.71</v>
      </c>
      <c r="I241" s="166">
        <f t="shared" si="8"/>
        <v>5.3928657507831268E-3</v>
      </c>
      <c r="J241" s="77"/>
      <c r="K241" s="77"/>
    </row>
    <row r="242" spans="1:11" ht="18">
      <c r="A242" s="237">
        <v>43153</v>
      </c>
      <c r="B242" s="238">
        <v>99.99</v>
      </c>
      <c r="C242" s="47">
        <f t="shared" si="9"/>
        <v>-1.6814159292035447E-2</v>
      </c>
      <c r="G242" s="81">
        <v>43141</v>
      </c>
      <c r="H242" s="82">
        <v>330.42</v>
      </c>
      <c r="I242" s="166">
        <f t="shared" si="8"/>
        <v>-9.8588594887776271E-3</v>
      </c>
      <c r="J242" s="77"/>
      <c r="K242" s="77"/>
    </row>
    <row r="243" spans="1:11" ht="18">
      <c r="A243" s="237">
        <v>43154</v>
      </c>
      <c r="B243" s="238">
        <v>98.98</v>
      </c>
      <c r="C243" s="47">
        <f t="shared" si="9"/>
        <v>-1.0101010101010055E-2</v>
      </c>
      <c r="G243" s="81">
        <v>43144</v>
      </c>
      <c r="H243" s="82">
        <v>325.08</v>
      </c>
      <c r="I243" s="166">
        <f t="shared" si="8"/>
        <v>-1.616124931904861E-2</v>
      </c>
      <c r="J243" s="77"/>
      <c r="K243" s="77"/>
    </row>
    <row r="244" spans="1:11" ht="18">
      <c r="A244" s="237">
        <v>43155</v>
      </c>
      <c r="B244" s="238">
        <v>100.17</v>
      </c>
      <c r="C244" s="47">
        <f t="shared" si="9"/>
        <v>1.2022630834511938E-2</v>
      </c>
      <c r="G244" s="81">
        <v>43145</v>
      </c>
      <c r="H244" s="82">
        <v>329.02</v>
      </c>
      <c r="I244" s="166">
        <f t="shared" si="8"/>
        <v>1.2120093515442409E-2</v>
      </c>
      <c r="J244" s="77"/>
      <c r="K244" s="77"/>
    </row>
    <row r="245" spans="1:11" ht="18">
      <c r="A245" s="237">
        <v>43158</v>
      </c>
      <c r="B245" s="238">
        <v>99.2</v>
      </c>
      <c r="C245" s="47">
        <f t="shared" si="9"/>
        <v>-9.6835379854247616E-3</v>
      </c>
      <c r="G245" s="81">
        <v>43146</v>
      </c>
      <c r="H245" s="82">
        <v>332.03</v>
      </c>
      <c r="I245" s="166">
        <f t="shared" si="8"/>
        <v>9.1483800376876978E-3</v>
      </c>
      <c r="J245" s="77"/>
      <c r="K245" s="77"/>
    </row>
    <row r="246" spans="1:11" ht="18">
      <c r="A246" s="237">
        <v>43159</v>
      </c>
      <c r="B246" s="238">
        <v>97.32</v>
      </c>
      <c r="C246" s="47">
        <f t="shared" si="9"/>
        <v>-1.895161290322589E-2</v>
      </c>
      <c r="G246" s="81">
        <v>43147</v>
      </c>
      <c r="H246" s="82">
        <v>331.18</v>
      </c>
      <c r="I246" s="166">
        <f t="shared" si="8"/>
        <v>-2.5600096376832138E-3</v>
      </c>
      <c r="J246" s="77"/>
      <c r="K246" s="77"/>
    </row>
    <row r="247" spans="1:11" ht="18">
      <c r="A247" s="237">
        <v>43160</v>
      </c>
      <c r="B247" s="238">
        <v>97.11</v>
      </c>
      <c r="C247" s="47">
        <f t="shared" si="9"/>
        <v>-2.1578298397040285E-3</v>
      </c>
      <c r="G247" s="81">
        <v>43148</v>
      </c>
      <c r="H247" s="82">
        <v>328.52</v>
      </c>
      <c r="I247" s="166">
        <f t="shared" si="8"/>
        <v>-8.0318859834531686E-3</v>
      </c>
      <c r="J247" s="77"/>
      <c r="K247" s="77"/>
    </row>
    <row r="248" spans="1:11" ht="18">
      <c r="A248" s="237">
        <v>43161</v>
      </c>
      <c r="B248" s="238">
        <v>96.69</v>
      </c>
      <c r="C248" s="47">
        <f t="shared" si="9"/>
        <v>-4.3249922767994997E-3</v>
      </c>
      <c r="G248" s="81">
        <v>43151</v>
      </c>
      <c r="H248" s="82">
        <v>325.37</v>
      </c>
      <c r="I248" s="166">
        <f t="shared" si="8"/>
        <v>-9.5884573237549064E-3</v>
      </c>
      <c r="J248" s="77"/>
      <c r="K248" s="77"/>
    </row>
    <row r="249" spans="1:11" ht="18">
      <c r="A249" s="237">
        <v>43162</v>
      </c>
      <c r="B249" s="238">
        <v>94.61</v>
      </c>
      <c r="C249" s="47">
        <f t="shared" si="9"/>
        <v>-2.1512048815803042E-2</v>
      </c>
      <c r="G249" s="81">
        <v>43152</v>
      </c>
      <c r="H249" s="82">
        <v>321.67</v>
      </c>
      <c r="I249" s="166">
        <f t="shared" si="8"/>
        <v>-1.1371669176629684E-2</v>
      </c>
      <c r="J249" s="77"/>
      <c r="K249" s="77"/>
    </row>
    <row r="250" spans="1:11" ht="18">
      <c r="A250" s="237">
        <v>43165</v>
      </c>
      <c r="B250" s="238">
        <v>93.87</v>
      </c>
      <c r="C250" s="47">
        <f t="shared" si="9"/>
        <v>-7.8215833421413361E-3</v>
      </c>
      <c r="G250" s="81">
        <v>43153</v>
      </c>
      <c r="H250" s="82">
        <v>321.89999999999998</v>
      </c>
      <c r="I250" s="166">
        <f t="shared" si="8"/>
        <v>7.1501849721755661E-4</v>
      </c>
      <c r="J250" s="77"/>
      <c r="K250" s="77"/>
    </row>
    <row r="251" spans="1:11" ht="18">
      <c r="A251" s="237">
        <v>43166</v>
      </c>
      <c r="B251" s="238">
        <v>94.69</v>
      </c>
      <c r="C251" s="47">
        <f t="shared" si="9"/>
        <v>8.7354852455523435E-3</v>
      </c>
      <c r="G251" s="81">
        <v>43154</v>
      </c>
      <c r="H251" s="82">
        <v>308.29000000000002</v>
      </c>
      <c r="I251" s="166">
        <f t="shared" si="8"/>
        <v>-4.2280211245728339E-2</v>
      </c>
      <c r="J251" s="77"/>
      <c r="K251" s="77"/>
    </row>
    <row r="252" spans="1:11" ht="18">
      <c r="A252" s="237">
        <v>43167</v>
      </c>
      <c r="B252" s="238">
        <v>95.61</v>
      </c>
      <c r="C252" s="47">
        <f t="shared" si="9"/>
        <v>9.7159150913508352E-3</v>
      </c>
      <c r="G252" s="81">
        <v>43155</v>
      </c>
      <c r="H252" s="82">
        <v>313.45</v>
      </c>
      <c r="I252" s="166">
        <f t="shared" si="8"/>
        <v>1.6737487430665832E-2</v>
      </c>
      <c r="J252" s="77"/>
      <c r="K252" s="77"/>
    </row>
    <row r="253" spans="1:11" ht="18">
      <c r="A253" s="237">
        <v>43168</v>
      </c>
      <c r="B253" s="238">
        <v>95.75</v>
      </c>
      <c r="C253" s="47">
        <f t="shared" si="9"/>
        <v>1.4642819788726058E-3</v>
      </c>
      <c r="G253" s="81">
        <v>43158</v>
      </c>
      <c r="H253" s="82">
        <v>312.85000000000002</v>
      </c>
      <c r="I253" s="166">
        <f t="shared" si="8"/>
        <v>-1.9141808900939861E-3</v>
      </c>
      <c r="J253" s="77"/>
      <c r="K253" s="77"/>
    </row>
    <row r="254" spans="1:11" ht="18">
      <c r="A254" s="237">
        <v>43169</v>
      </c>
      <c r="B254" s="238">
        <v>95.01</v>
      </c>
      <c r="C254" s="47">
        <f t="shared" si="9"/>
        <v>-7.7284595300260994E-3</v>
      </c>
      <c r="G254" s="81">
        <v>43159</v>
      </c>
      <c r="H254" s="82">
        <v>314.64999999999998</v>
      </c>
      <c r="I254" s="166">
        <f t="shared" si="8"/>
        <v>5.7535560172605749E-3</v>
      </c>
      <c r="J254" s="77"/>
      <c r="K254" s="77"/>
    </row>
    <row r="255" spans="1:11" ht="18">
      <c r="A255" s="237">
        <v>43172</v>
      </c>
      <c r="B255" s="238">
        <v>94.81</v>
      </c>
      <c r="C255" s="47">
        <f t="shared" si="9"/>
        <v>-2.1050415745711426E-3</v>
      </c>
      <c r="G255" s="81">
        <v>43160</v>
      </c>
      <c r="H255" s="82">
        <v>312.51</v>
      </c>
      <c r="I255" s="166">
        <f t="shared" si="8"/>
        <v>-6.8012076910852759E-3</v>
      </c>
      <c r="J255" s="77"/>
      <c r="K255" s="77"/>
    </row>
    <row r="256" spans="1:11" ht="18">
      <c r="A256" s="237">
        <v>43173</v>
      </c>
      <c r="B256" s="238">
        <v>95.38</v>
      </c>
      <c r="C256" s="47">
        <f t="shared" si="9"/>
        <v>6.0120240480960874E-3</v>
      </c>
      <c r="G256" s="81">
        <v>43161</v>
      </c>
      <c r="H256" s="82">
        <v>312.60000000000002</v>
      </c>
      <c r="I256" s="166">
        <f t="shared" si="8"/>
        <v>2.8799078429497804E-4</v>
      </c>
      <c r="J256" s="77"/>
      <c r="K256" s="77"/>
    </row>
    <row r="257" spans="1:11" ht="18">
      <c r="A257" s="237">
        <v>43174</v>
      </c>
      <c r="B257" s="238">
        <v>97.33</v>
      </c>
      <c r="C257" s="47">
        <f t="shared" si="9"/>
        <v>2.0444537638917959E-2</v>
      </c>
      <c r="G257" s="81">
        <v>43162</v>
      </c>
      <c r="H257" s="82">
        <v>305.89</v>
      </c>
      <c r="I257" s="166">
        <f t="shared" si="8"/>
        <v>-2.1465131158029505E-2</v>
      </c>
      <c r="J257" s="77"/>
      <c r="K257" s="77"/>
    </row>
    <row r="258" spans="1:11" ht="18">
      <c r="A258" s="237">
        <v>43175</v>
      </c>
      <c r="B258" s="238">
        <v>97.95</v>
      </c>
      <c r="C258" s="47">
        <f t="shared" si="9"/>
        <v>6.3700811671631996E-3</v>
      </c>
      <c r="G258" s="81">
        <v>43165</v>
      </c>
      <c r="H258" s="82">
        <v>296.24</v>
      </c>
      <c r="I258" s="166">
        <f t="shared" si="8"/>
        <v>-3.154728824087083E-2</v>
      </c>
      <c r="J258" s="77"/>
      <c r="K258" s="77"/>
    </row>
    <row r="259" spans="1:11" ht="18">
      <c r="A259" s="237">
        <v>43176</v>
      </c>
      <c r="B259" s="238">
        <v>97.55</v>
      </c>
      <c r="C259" s="47">
        <f t="shared" si="9"/>
        <v>-4.0837161817254275E-3</v>
      </c>
      <c r="G259" s="81">
        <v>43166</v>
      </c>
      <c r="H259" s="82">
        <v>288.91000000000003</v>
      </c>
      <c r="I259" s="166">
        <f t="shared" si="8"/>
        <v>-2.4743451255738513E-2</v>
      </c>
      <c r="J259" s="77"/>
      <c r="K259" s="77"/>
    </row>
    <row r="260" spans="1:11" ht="18">
      <c r="A260" s="237">
        <v>43179</v>
      </c>
      <c r="B260" s="238">
        <v>95.84</v>
      </c>
      <c r="C260" s="47">
        <f t="shared" si="9"/>
        <v>-1.7529472065607288E-2</v>
      </c>
      <c r="G260" s="81">
        <v>43167</v>
      </c>
      <c r="H260" s="82">
        <v>292.60000000000002</v>
      </c>
      <c r="I260" s="166">
        <f t="shared" si="8"/>
        <v>1.2772143574123485E-2</v>
      </c>
      <c r="J260" s="77"/>
      <c r="K260" s="77"/>
    </row>
    <row r="261" spans="1:11" ht="18">
      <c r="A261" s="237">
        <v>43180</v>
      </c>
      <c r="B261" s="238">
        <v>95.67</v>
      </c>
      <c r="C261" s="47">
        <f t="shared" si="9"/>
        <v>-1.773789649415658E-3</v>
      </c>
      <c r="G261" s="81">
        <v>43168</v>
      </c>
      <c r="H261" s="82">
        <v>294.02999999999997</v>
      </c>
      <c r="I261" s="166">
        <f t="shared" si="8"/>
        <v>4.8872180451127178E-3</v>
      </c>
      <c r="J261" s="77"/>
      <c r="K261" s="77"/>
    </row>
    <row r="262" spans="1:11" ht="18">
      <c r="A262" s="237">
        <v>43181</v>
      </c>
      <c r="B262" s="238">
        <v>95.75</v>
      </c>
      <c r="C262" s="47">
        <f t="shared" si="9"/>
        <v>8.3620779763760034E-4</v>
      </c>
      <c r="G262" s="81">
        <v>43169</v>
      </c>
      <c r="H262" s="82">
        <v>290.22000000000003</v>
      </c>
      <c r="I262" s="166">
        <f t="shared" si="8"/>
        <v>-1.2957861442709717E-2</v>
      </c>
      <c r="J262" s="77"/>
      <c r="K262" s="77"/>
    </row>
    <row r="263" spans="1:11" ht="18">
      <c r="A263" s="237">
        <v>43182</v>
      </c>
      <c r="B263" s="238">
        <v>96.13</v>
      </c>
      <c r="C263" s="47">
        <f t="shared" si="9"/>
        <v>3.9686684073105827E-3</v>
      </c>
      <c r="G263" s="81">
        <v>43172</v>
      </c>
      <c r="H263" s="82">
        <v>282.39</v>
      </c>
      <c r="I263" s="166">
        <f t="shared" si="8"/>
        <v>-2.697953276824494E-2</v>
      </c>
      <c r="J263" s="77"/>
      <c r="K263" s="77"/>
    </row>
    <row r="264" spans="1:11" ht="18">
      <c r="A264" s="237">
        <v>43183</v>
      </c>
      <c r="B264" s="238">
        <v>95.91</v>
      </c>
      <c r="C264" s="47">
        <f t="shared" si="9"/>
        <v>-2.2885675647560388E-3</v>
      </c>
      <c r="G264" s="81">
        <v>43173</v>
      </c>
      <c r="H264" s="82">
        <v>275.45</v>
      </c>
      <c r="I264" s="166">
        <f t="shared" si="8"/>
        <v>-2.4575941074400642E-2</v>
      </c>
      <c r="J264" s="77"/>
      <c r="K264" s="77"/>
    </row>
    <row r="265" spans="1:11" ht="18">
      <c r="A265" s="237">
        <v>43186</v>
      </c>
      <c r="B265" s="238">
        <v>96.84</v>
      </c>
      <c r="C265" s="47">
        <f t="shared" si="9"/>
        <v>9.6965905536441355E-3</v>
      </c>
      <c r="G265" s="81">
        <v>43174</v>
      </c>
      <c r="H265" s="82">
        <v>290.45</v>
      </c>
      <c r="I265" s="166">
        <f t="shared" si="8"/>
        <v>5.4456344164095061E-2</v>
      </c>
      <c r="J265" s="77"/>
      <c r="K265" s="77"/>
    </row>
    <row r="266" spans="1:11" ht="18">
      <c r="A266" s="237">
        <v>43187</v>
      </c>
      <c r="B266" s="238">
        <v>97.79</v>
      </c>
      <c r="C266" s="47">
        <f t="shared" si="9"/>
        <v>9.8099958694755074E-3</v>
      </c>
      <c r="G266" s="81">
        <v>43175</v>
      </c>
      <c r="H266" s="82">
        <v>298.56</v>
      </c>
      <c r="I266" s="166">
        <f t="shared" si="8"/>
        <v>2.7922189705629208E-2</v>
      </c>
      <c r="J266" s="77"/>
      <c r="K266" s="77"/>
    </row>
    <row r="267" spans="1:11" ht="18">
      <c r="A267" s="237">
        <v>43188</v>
      </c>
      <c r="B267" s="238">
        <v>97.86</v>
      </c>
      <c r="C267" s="47">
        <f t="shared" si="9"/>
        <v>7.158196134573469E-4</v>
      </c>
      <c r="G267" s="81">
        <v>43176</v>
      </c>
      <c r="H267" s="82">
        <v>300.37</v>
      </c>
      <c r="I267" s="166">
        <f t="shared" si="8"/>
        <v>6.0624330117899916E-3</v>
      </c>
      <c r="J267" s="77"/>
      <c r="K267" s="77"/>
    </row>
    <row r="268" spans="1:11" ht="18">
      <c r="A268" s="237">
        <v>43189</v>
      </c>
      <c r="B268" s="238">
        <v>97.76</v>
      </c>
      <c r="C268" s="47">
        <f t="shared" si="9"/>
        <v>-1.021867974657642E-3</v>
      </c>
      <c r="G268" s="81">
        <v>43179</v>
      </c>
      <c r="H268" s="82">
        <v>298.5</v>
      </c>
      <c r="I268" s="166">
        <f t="shared" si="8"/>
        <v>-6.2256550254685683E-3</v>
      </c>
      <c r="J268" s="77"/>
      <c r="K268" s="77"/>
    </row>
    <row r="269" spans="1:11" ht="18">
      <c r="A269" s="237">
        <v>43190</v>
      </c>
      <c r="B269" s="238">
        <v>97.73</v>
      </c>
      <c r="C269" s="47">
        <f t="shared" si="9"/>
        <v>-3.0687397708673014E-4</v>
      </c>
      <c r="G269" s="81">
        <v>43180</v>
      </c>
      <c r="H269" s="82">
        <v>302.64</v>
      </c>
      <c r="I269" s="166">
        <f t="shared" si="8"/>
        <v>1.3869346733668353E-2</v>
      </c>
      <c r="J269" s="77"/>
      <c r="K269" s="77"/>
    </row>
    <row r="270" spans="1:11" ht="18">
      <c r="A270" s="237">
        <v>43193</v>
      </c>
      <c r="B270" s="238">
        <v>98.11</v>
      </c>
      <c r="C270" s="47">
        <f t="shared" si="9"/>
        <v>3.8882635833417112E-3</v>
      </c>
      <c r="G270" s="81">
        <v>43181</v>
      </c>
      <c r="H270" s="82">
        <v>304.24</v>
      </c>
      <c r="I270" s="166">
        <f t="shared" si="8"/>
        <v>5.2868094105207319E-3</v>
      </c>
      <c r="J270" s="77"/>
      <c r="K270" s="77"/>
    </row>
    <row r="271" spans="1:11" ht="18">
      <c r="A271" s="237">
        <v>43194</v>
      </c>
      <c r="B271" s="238">
        <v>96.53</v>
      </c>
      <c r="C271" s="47">
        <f t="shared" si="9"/>
        <v>-1.6104372642951725E-2</v>
      </c>
      <c r="G271" s="81">
        <v>43182</v>
      </c>
      <c r="H271" s="82">
        <v>303.88</v>
      </c>
      <c r="I271" s="166">
        <f t="shared" ref="I271:I334" si="10">H271/H270-1</f>
        <v>-1.1832763607678709E-3</v>
      </c>
      <c r="J271" s="77"/>
      <c r="K271" s="77"/>
    </row>
    <row r="272" spans="1:11" ht="18">
      <c r="A272" s="237">
        <v>43195</v>
      </c>
      <c r="B272" s="238">
        <v>96.24</v>
      </c>
      <c r="C272" s="47">
        <f t="shared" si="9"/>
        <v>-3.0042473842329942E-3</v>
      </c>
      <c r="G272" s="81">
        <v>43183</v>
      </c>
      <c r="H272" s="82">
        <v>301.17</v>
      </c>
      <c r="I272" s="166">
        <f t="shared" si="10"/>
        <v>-8.9179939449781642E-3</v>
      </c>
      <c r="J272" s="77"/>
      <c r="K272" s="77"/>
    </row>
    <row r="273" spans="1:11" ht="18">
      <c r="A273" s="237">
        <v>43196</v>
      </c>
      <c r="B273" s="238">
        <v>95.96</v>
      </c>
      <c r="C273" s="47">
        <f t="shared" si="9"/>
        <v>-2.9093931837074205E-3</v>
      </c>
      <c r="G273" s="81">
        <v>43186</v>
      </c>
      <c r="H273" s="82">
        <v>301.20999999999998</v>
      </c>
      <c r="I273" s="166">
        <f t="shared" si="10"/>
        <v>1.328153534547738E-4</v>
      </c>
      <c r="J273" s="77"/>
      <c r="K273" s="77"/>
    </row>
    <row r="274" spans="1:11" ht="18">
      <c r="A274" s="237">
        <v>43197</v>
      </c>
      <c r="B274" s="238">
        <v>95.13</v>
      </c>
      <c r="C274" s="47">
        <f t="shared" si="9"/>
        <v>-8.6494372655272489E-3</v>
      </c>
      <c r="G274" s="81">
        <v>43187</v>
      </c>
      <c r="H274" s="82">
        <v>304.05</v>
      </c>
      <c r="I274" s="166">
        <f t="shared" si="10"/>
        <v>9.4286378274295313E-3</v>
      </c>
      <c r="J274" s="77"/>
      <c r="K274" s="77"/>
    </row>
    <row r="275" spans="1:11" ht="18">
      <c r="A275" s="237">
        <v>43200</v>
      </c>
      <c r="B275" s="238">
        <v>94</v>
      </c>
      <c r="C275" s="47">
        <f t="shared" si="9"/>
        <v>-1.1878482077157582E-2</v>
      </c>
      <c r="G275" s="81">
        <v>43188</v>
      </c>
      <c r="H275" s="82">
        <v>307.36</v>
      </c>
      <c r="I275" s="166">
        <f t="shared" si="10"/>
        <v>1.088636737378712E-2</v>
      </c>
      <c r="J275" s="77"/>
      <c r="K275" s="77"/>
    </row>
    <row r="276" spans="1:11" ht="18">
      <c r="A276" s="237">
        <v>43201</v>
      </c>
      <c r="B276" s="238">
        <v>94.35</v>
      </c>
      <c r="C276" s="47">
        <f t="shared" si="9"/>
        <v>3.7234042553191404E-3</v>
      </c>
      <c r="G276" s="81">
        <v>43189</v>
      </c>
      <c r="H276" s="82">
        <v>304.87</v>
      </c>
      <c r="I276" s="166">
        <f t="shared" si="10"/>
        <v>-8.1012493492972348E-3</v>
      </c>
      <c r="J276" s="77"/>
      <c r="K276" s="77"/>
    </row>
    <row r="277" spans="1:11" ht="18">
      <c r="A277" s="237">
        <v>43202</v>
      </c>
      <c r="B277" s="238">
        <v>94.59</v>
      </c>
      <c r="C277" s="47">
        <f t="shared" si="9"/>
        <v>2.5437201907791973E-3</v>
      </c>
      <c r="G277" s="81">
        <v>43190</v>
      </c>
      <c r="H277" s="82">
        <v>307.12</v>
      </c>
      <c r="I277" s="166">
        <f t="shared" si="10"/>
        <v>7.3801948371436943E-3</v>
      </c>
      <c r="J277" s="77"/>
      <c r="K277" s="77"/>
    </row>
    <row r="278" spans="1:11" ht="18">
      <c r="A278" s="237">
        <v>43203</v>
      </c>
      <c r="B278" s="238">
        <v>93.71</v>
      </c>
      <c r="C278" s="47">
        <f t="shared" si="9"/>
        <v>-9.30330901786669E-3</v>
      </c>
      <c r="G278" s="81">
        <v>43193</v>
      </c>
      <c r="H278" s="82">
        <v>311.64999999999998</v>
      </c>
      <c r="I278" s="166">
        <f t="shared" si="10"/>
        <v>1.474993487887466E-2</v>
      </c>
      <c r="J278" s="77"/>
      <c r="K278" s="77"/>
    </row>
    <row r="279" spans="1:11" ht="18">
      <c r="A279" s="237">
        <v>43207</v>
      </c>
      <c r="B279" s="238">
        <v>93.66</v>
      </c>
      <c r="C279" s="47">
        <f t="shared" ref="C279:C342" si="11">B279/B278-1</f>
        <v>-5.335609860206425E-4</v>
      </c>
      <c r="G279" s="81">
        <v>43194</v>
      </c>
      <c r="H279" s="82">
        <v>309.92</v>
      </c>
      <c r="I279" s="166">
        <f t="shared" si="10"/>
        <v>-5.5510989892506579E-3</v>
      </c>
      <c r="J279" s="77"/>
      <c r="K279" s="77"/>
    </row>
    <row r="280" spans="1:11" ht="18">
      <c r="A280" s="237">
        <v>43208</v>
      </c>
      <c r="B280" s="238">
        <v>93.29</v>
      </c>
      <c r="C280" s="47">
        <f t="shared" si="11"/>
        <v>-3.950459107409654E-3</v>
      </c>
      <c r="G280" s="81">
        <v>43195</v>
      </c>
      <c r="H280" s="82">
        <v>307.10000000000002</v>
      </c>
      <c r="I280" s="166">
        <f t="shared" si="10"/>
        <v>-9.0991223541558863E-3</v>
      </c>
      <c r="J280" s="77"/>
      <c r="K280" s="77"/>
    </row>
    <row r="281" spans="1:11" ht="18">
      <c r="A281" s="237">
        <v>43209</v>
      </c>
      <c r="B281" s="238">
        <v>93.93</v>
      </c>
      <c r="C281" s="47">
        <f t="shared" si="11"/>
        <v>6.8603280094330366E-3</v>
      </c>
      <c r="G281" s="81">
        <v>43196</v>
      </c>
      <c r="H281" s="82">
        <v>302.58999999999997</v>
      </c>
      <c r="I281" s="166">
        <f t="shared" si="10"/>
        <v>-1.4685770107456975E-2</v>
      </c>
      <c r="J281" s="77"/>
      <c r="K281" s="77"/>
    </row>
    <row r="282" spans="1:11" ht="18">
      <c r="A282" s="237">
        <v>43210</v>
      </c>
      <c r="B282" s="238">
        <v>93.08</v>
      </c>
      <c r="C282" s="47">
        <f t="shared" si="11"/>
        <v>-9.0492920259769294E-3</v>
      </c>
      <c r="G282" s="81">
        <v>43197</v>
      </c>
      <c r="H282" s="82">
        <v>303.61</v>
      </c>
      <c r="I282" s="166">
        <f t="shared" si="10"/>
        <v>3.3708979146700457E-3</v>
      </c>
      <c r="J282" s="77"/>
      <c r="K282" s="77"/>
    </row>
    <row r="283" spans="1:11" ht="18">
      <c r="A283" s="237">
        <v>43211</v>
      </c>
      <c r="B283" s="238">
        <v>92.09</v>
      </c>
      <c r="C283" s="47">
        <f t="shared" si="11"/>
        <v>-1.0636012032660069E-2</v>
      </c>
      <c r="G283" s="81">
        <v>43200</v>
      </c>
      <c r="H283" s="82">
        <v>299.58</v>
      </c>
      <c r="I283" s="166">
        <f t="shared" si="10"/>
        <v>-1.3273607588682901E-2</v>
      </c>
      <c r="J283" s="77"/>
      <c r="K283" s="77"/>
    </row>
    <row r="284" spans="1:11" ht="18">
      <c r="A284" s="237">
        <v>43214</v>
      </c>
      <c r="B284" s="238">
        <v>93.17</v>
      </c>
      <c r="C284" s="47">
        <f t="shared" si="11"/>
        <v>1.1727657726137375E-2</v>
      </c>
      <c r="G284" s="81">
        <v>43201</v>
      </c>
      <c r="H284" s="82">
        <v>299.17</v>
      </c>
      <c r="I284" s="166">
        <f t="shared" si="10"/>
        <v>-1.3685826824219038E-3</v>
      </c>
      <c r="J284" s="77"/>
      <c r="K284" s="77"/>
    </row>
    <row r="285" spans="1:11" ht="18">
      <c r="A285" s="237">
        <v>43215</v>
      </c>
      <c r="B285" s="238">
        <v>92.53</v>
      </c>
      <c r="C285" s="47">
        <f t="shared" si="11"/>
        <v>-6.8691638939573085E-3</v>
      </c>
      <c r="G285" s="81">
        <v>43202</v>
      </c>
      <c r="H285" s="82">
        <v>300.61</v>
      </c>
      <c r="I285" s="166">
        <f t="shared" si="10"/>
        <v>4.8133168432664686E-3</v>
      </c>
      <c r="J285" s="77"/>
      <c r="K285" s="77"/>
    </row>
    <row r="286" spans="1:11" ht="18">
      <c r="A286" s="237">
        <v>43216</v>
      </c>
      <c r="B286" s="238">
        <v>92.28</v>
      </c>
      <c r="C286" s="47">
        <f t="shared" si="11"/>
        <v>-2.7018264346698739E-3</v>
      </c>
      <c r="G286" s="81">
        <v>43203</v>
      </c>
      <c r="H286" s="82">
        <v>299.93</v>
      </c>
      <c r="I286" s="166">
        <f t="shared" si="10"/>
        <v>-2.2620671301686324E-3</v>
      </c>
      <c r="J286" s="77"/>
      <c r="K286" s="77"/>
    </row>
    <row r="287" spans="1:11" ht="18">
      <c r="A287" s="237">
        <v>43217</v>
      </c>
      <c r="B287" s="238">
        <v>92.45</v>
      </c>
      <c r="C287" s="47">
        <f t="shared" si="11"/>
        <v>1.8422193324665326E-3</v>
      </c>
      <c r="G287" s="81">
        <v>43204</v>
      </c>
      <c r="H287" s="82">
        <v>299.17</v>
      </c>
      <c r="I287" s="166">
        <f t="shared" si="10"/>
        <v>-2.5339245824025358E-3</v>
      </c>
      <c r="J287" s="77"/>
      <c r="K287" s="77"/>
    </row>
    <row r="288" spans="1:11" ht="18">
      <c r="A288" s="237">
        <v>43218</v>
      </c>
      <c r="B288" s="238">
        <v>90.88</v>
      </c>
      <c r="C288" s="47">
        <f t="shared" si="11"/>
        <v>-1.6982152514873006E-2</v>
      </c>
      <c r="G288" s="81">
        <v>43207</v>
      </c>
      <c r="H288" s="82">
        <v>297.58999999999997</v>
      </c>
      <c r="I288" s="166">
        <f t="shared" si="10"/>
        <v>-5.2812782030284833E-3</v>
      </c>
      <c r="J288" s="77"/>
      <c r="K288" s="77"/>
    </row>
    <row r="289" spans="1:11" ht="18">
      <c r="A289" s="237">
        <v>43221</v>
      </c>
      <c r="B289" s="238">
        <v>90.02</v>
      </c>
      <c r="C289" s="47">
        <f t="shared" si="11"/>
        <v>-9.4630281690141205E-3</v>
      </c>
      <c r="G289" s="81">
        <v>43208</v>
      </c>
      <c r="H289" s="82">
        <v>294.92</v>
      </c>
      <c r="I289" s="166">
        <f t="shared" si="10"/>
        <v>-8.9720756745856889E-3</v>
      </c>
      <c r="J289" s="77"/>
      <c r="K289" s="77"/>
    </row>
    <row r="290" spans="1:11" ht="18">
      <c r="A290" s="237">
        <v>43222</v>
      </c>
      <c r="B290" s="238">
        <v>90.4</v>
      </c>
      <c r="C290" s="47">
        <f t="shared" si="11"/>
        <v>4.2212841590758554E-3</v>
      </c>
      <c r="G290" s="81">
        <v>43209</v>
      </c>
      <c r="H290" s="82">
        <v>294.33999999999997</v>
      </c>
      <c r="I290" s="166">
        <f t="shared" si="10"/>
        <v>-1.9666350196665405E-3</v>
      </c>
      <c r="J290" s="77"/>
      <c r="K290" s="77"/>
    </row>
    <row r="291" spans="1:11" ht="18">
      <c r="A291" s="237">
        <v>43223</v>
      </c>
      <c r="B291" s="238">
        <v>91.95</v>
      </c>
      <c r="C291" s="47">
        <f t="shared" si="11"/>
        <v>1.7146017699114946E-2</v>
      </c>
      <c r="G291" s="81">
        <v>43210</v>
      </c>
      <c r="H291" s="82">
        <v>291.91000000000003</v>
      </c>
      <c r="I291" s="166">
        <f t="shared" si="10"/>
        <v>-8.2557586464631072E-3</v>
      </c>
      <c r="J291" s="77"/>
      <c r="K291" s="77"/>
    </row>
    <row r="292" spans="1:11" ht="18">
      <c r="A292" s="237">
        <v>43224</v>
      </c>
      <c r="B292" s="238">
        <v>90.57</v>
      </c>
      <c r="C292" s="47">
        <f t="shared" si="11"/>
        <v>-1.5008156606851619E-2</v>
      </c>
      <c r="G292" s="81">
        <v>43211</v>
      </c>
      <c r="H292" s="82">
        <v>288.94</v>
      </c>
      <c r="I292" s="166">
        <f t="shared" si="10"/>
        <v>-1.0174368812305268E-2</v>
      </c>
      <c r="J292" s="77"/>
      <c r="K292" s="77"/>
    </row>
    <row r="293" spans="1:11" ht="18">
      <c r="A293" s="237">
        <v>43225</v>
      </c>
      <c r="B293" s="238">
        <v>89.35</v>
      </c>
      <c r="C293" s="47">
        <f t="shared" si="11"/>
        <v>-1.3470244010157839E-2</v>
      </c>
      <c r="G293" s="81">
        <v>43214</v>
      </c>
      <c r="H293" s="82">
        <v>281.29000000000002</v>
      </c>
      <c r="I293" s="166">
        <f t="shared" si="10"/>
        <v>-2.6476085000346039E-2</v>
      </c>
      <c r="J293" s="77"/>
      <c r="K293" s="77"/>
    </row>
    <row r="294" spans="1:11" ht="18">
      <c r="A294" s="237">
        <v>43228</v>
      </c>
      <c r="B294" s="238">
        <v>88.56</v>
      </c>
      <c r="C294" s="47">
        <f t="shared" si="11"/>
        <v>-8.84163402350302E-3</v>
      </c>
      <c r="G294" s="81">
        <v>43215</v>
      </c>
      <c r="H294" s="82">
        <v>281.32</v>
      </c>
      <c r="I294" s="166">
        <f t="shared" si="10"/>
        <v>1.0665149845334732E-4</v>
      </c>
      <c r="J294" s="77"/>
      <c r="K294" s="77"/>
    </row>
    <row r="295" spans="1:11" ht="18">
      <c r="A295" s="237">
        <v>43229</v>
      </c>
      <c r="B295" s="238">
        <v>89</v>
      </c>
      <c r="C295" s="47">
        <f t="shared" si="11"/>
        <v>4.9683830171634025E-3</v>
      </c>
      <c r="G295" s="81">
        <v>43216</v>
      </c>
      <c r="H295" s="82">
        <v>281.36</v>
      </c>
      <c r="I295" s="166">
        <f t="shared" si="10"/>
        <v>1.4218683349920269E-4</v>
      </c>
      <c r="J295" s="77"/>
      <c r="K295" s="77"/>
    </row>
    <row r="296" spans="1:11" ht="18">
      <c r="A296" s="237">
        <v>43230</v>
      </c>
      <c r="B296" s="238">
        <v>89.39</v>
      </c>
      <c r="C296" s="47">
        <f t="shared" si="11"/>
        <v>4.3820224719102185E-3</v>
      </c>
      <c r="G296" s="81">
        <v>43217</v>
      </c>
      <c r="H296" s="82">
        <v>283.63</v>
      </c>
      <c r="I296" s="166">
        <f t="shared" si="10"/>
        <v>8.0679556440146349E-3</v>
      </c>
      <c r="J296" s="77"/>
      <c r="K296" s="77"/>
    </row>
    <row r="297" spans="1:11" ht="18">
      <c r="A297" s="237">
        <v>43231</v>
      </c>
      <c r="B297" s="238">
        <v>89.45</v>
      </c>
      <c r="C297" s="47">
        <f t="shared" si="11"/>
        <v>6.7121601968911371E-4</v>
      </c>
      <c r="G297" s="81">
        <v>43218</v>
      </c>
      <c r="H297" s="82">
        <v>287.7</v>
      </c>
      <c r="I297" s="166">
        <f t="shared" si="10"/>
        <v>1.4349680922328467E-2</v>
      </c>
      <c r="J297" s="77"/>
      <c r="K297" s="77"/>
    </row>
    <row r="298" spans="1:11" ht="18">
      <c r="A298" s="237">
        <v>43232</v>
      </c>
      <c r="B298" s="238">
        <v>89.3</v>
      </c>
      <c r="C298" s="47">
        <f t="shared" si="11"/>
        <v>-1.676914477361735E-3</v>
      </c>
      <c r="G298" s="81">
        <v>43221</v>
      </c>
      <c r="H298" s="82">
        <v>287.11</v>
      </c>
      <c r="I298" s="166">
        <f t="shared" si="10"/>
        <v>-2.0507473062216786E-3</v>
      </c>
      <c r="J298" s="77"/>
      <c r="K298" s="77"/>
    </row>
    <row r="299" spans="1:11" ht="18">
      <c r="A299" s="237">
        <v>43235</v>
      </c>
      <c r="B299" s="238">
        <v>88.82</v>
      </c>
      <c r="C299" s="47">
        <f t="shared" si="11"/>
        <v>-5.3751399776036379E-3</v>
      </c>
      <c r="G299" s="81">
        <v>43222</v>
      </c>
      <c r="H299" s="82">
        <v>286.72000000000003</v>
      </c>
      <c r="I299" s="166">
        <f t="shared" si="10"/>
        <v>-1.358364389955069E-3</v>
      </c>
      <c r="J299" s="77"/>
      <c r="K299" s="77"/>
    </row>
    <row r="300" spans="1:11" ht="18">
      <c r="A300" s="237">
        <v>43236</v>
      </c>
      <c r="B300" s="238">
        <v>89.14</v>
      </c>
      <c r="C300" s="47">
        <f t="shared" si="11"/>
        <v>3.6027921639272265E-3</v>
      </c>
      <c r="G300" s="81">
        <v>43223</v>
      </c>
      <c r="H300" s="82">
        <v>285.45</v>
      </c>
      <c r="I300" s="166">
        <f t="shared" si="10"/>
        <v>-4.4294084821430157E-3</v>
      </c>
      <c r="J300" s="77"/>
      <c r="K300" s="77"/>
    </row>
    <row r="301" spans="1:11" ht="18">
      <c r="A301" s="237">
        <v>43237</v>
      </c>
      <c r="B301" s="238">
        <v>88.57</v>
      </c>
      <c r="C301" s="47">
        <f t="shared" si="11"/>
        <v>-6.3944357190935941E-3</v>
      </c>
      <c r="G301" s="81">
        <v>43224</v>
      </c>
      <c r="H301" s="82">
        <v>283.43</v>
      </c>
      <c r="I301" s="166">
        <f t="shared" si="10"/>
        <v>-7.076545804869494E-3</v>
      </c>
      <c r="J301" s="77"/>
      <c r="K301" s="77"/>
    </row>
    <row r="302" spans="1:11" ht="18">
      <c r="A302" s="237">
        <v>43238</v>
      </c>
      <c r="B302" s="238">
        <v>89.05</v>
      </c>
      <c r="C302" s="47">
        <f t="shared" si="11"/>
        <v>5.4194422490685401E-3</v>
      </c>
      <c r="G302" s="81">
        <v>43225</v>
      </c>
      <c r="H302" s="82">
        <v>276.92</v>
      </c>
      <c r="I302" s="166">
        <f t="shared" si="10"/>
        <v>-2.296863423067419E-2</v>
      </c>
      <c r="J302" s="77"/>
      <c r="K302" s="77"/>
    </row>
    <row r="303" spans="1:11" ht="18">
      <c r="A303" s="237">
        <v>43239</v>
      </c>
      <c r="B303" s="238">
        <v>89.63</v>
      </c>
      <c r="C303" s="47">
        <f t="shared" si="11"/>
        <v>6.5131948343626345E-3</v>
      </c>
      <c r="G303" s="81">
        <v>43228</v>
      </c>
      <c r="H303" s="82">
        <v>271.36</v>
      </c>
      <c r="I303" s="166">
        <f t="shared" si="10"/>
        <v>-2.0078000866676327E-2</v>
      </c>
      <c r="J303" s="77"/>
      <c r="K303" s="77"/>
    </row>
    <row r="304" spans="1:11" ht="18">
      <c r="A304" s="237">
        <v>43242</v>
      </c>
      <c r="B304" s="238">
        <v>89.69</v>
      </c>
      <c r="C304" s="47">
        <f t="shared" si="11"/>
        <v>6.6941872141024206E-4</v>
      </c>
      <c r="G304" s="81">
        <v>43229</v>
      </c>
      <c r="H304" s="82">
        <v>269.69</v>
      </c>
      <c r="I304" s="166">
        <f t="shared" si="10"/>
        <v>-6.1541863207548175E-3</v>
      </c>
      <c r="J304" s="77"/>
      <c r="K304" s="77"/>
    </row>
    <row r="305" spans="1:11" ht="18">
      <c r="A305" s="237">
        <v>43243</v>
      </c>
      <c r="B305" s="238">
        <v>90.47</v>
      </c>
      <c r="C305" s="47">
        <f t="shared" si="11"/>
        <v>8.6966216969561749E-3</v>
      </c>
      <c r="G305" s="81">
        <v>43230</v>
      </c>
      <c r="H305" s="82">
        <v>270.10000000000002</v>
      </c>
      <c r="I305" s="166">
        <f t="shared" si="10"/>
        <v>1.5202640068228135E-3</v>
      </c>
      <c r="J305" s="77"/>
      <c r="K305" s="77"/>
    </row>
    <row r="306" spans="1:11" ht="18">
      <c r="A306" s="237">
        <v>43244</v>
      </c>
      <c r="B306" s="238">
        <v>91.27</v>
      </c>
      <c r="C306" s="47">
        <f t="shared" si="11"/>
        <v>8.8427102907040478E-3</v>
      </c>
      <c r="G306" s="81">
        <v>43231</v>
      </c>
      <c r="H306" s="82">
        <v>264.83999999999997</v>
      </c>
      <c r="I306" s="166">
        <f t="shared" si="10"/>
        <v>-1.9474268789337446E-2</v>
      </c>
      <c r="J306" s="77"/>
      <c r="K306" s="77"/>
    </row>
    <row r="307" spans="1:11" ht="18">
      <c r="A307" s="237">
        <v>43245</v>
      </c>
      <c r="B307" s="238">
        <v>91.57</v>
      </c>
      <c r="C307" s="47">
        <f t="shared" si="11"/>
        <v>3.2869508053028351E-3</v>
      </c>
      <c r="G307" s="81">
        <v>43232</v>
      </c>
      <c r="H307" s="82">
        <v>269.27999999999997</v>
      </c>
      <c r="I307" s="166">
        <f t="shared" si="10"/>
        <v>1.6764839148164956E-2</v>
      </c>
      <c r="J307" s="77"/>
      <c r="K307" s="77"/>
    </row>
    <row r="308" spans="1:11" ht="18">
      <c r="A308" s="237">
        <v>43246</v>
      </c>
      <c r="B308" s="238">
        <v>91.72</v>
      </c>
      <c r="C308" s="47">
        <f t="shared" si="11"/>
        <v>1.6380910778639457E-3</v>
      </c>
      <c r="G308" s="81">
        <v>43235</v>
      </c>
      <c r="H308" s="82">
        <v>269.89999999999998</v>
      </c>
      <c r="I308" s="166">
        <f t="shared" si="10"/>
        <v>2.3024361259655901E-3</v>
      </c>
      <c r="J308" s="77"/>
      <c r="K308" s="77"/>
    </row>
    <row r="309" spans="1:11" ht="18">
      <c r="A309" s="237">
        <v>43250</v>
      </c>
      <c r="B309" s="238">
        <v>91.25</v>
      </c>
      <c r="C309" s="47">
        <f t="shared" si="11"/>
        <v>-5.1242913214130104E-3</v>
      </c>
      <c r="G309" s="81">
        <v>43236</v>
      </c>
      <c r="H309" s="82">
        <v>275.8</v>
      </c>
      <c r="I309" s="166">
        <f t="shared" si="10"/>
        <v>2.1859948128936768E-2</v>
      </c>
      <c r="J309" s="77"/>
      <c r="K309" s="77"/>
    </row>
    <row r="310" spans="1:11" ht="18">
      <c r="A310" s="237">
        <v>43251</v>
      </c>
      <c r="B310" s="238">
        <v>90.75</v>
      </c>
      <c r="C310" s="47">
        <f t="shared" si="11"/>
        <v>-5.479452054794498E-3</v>
      </c>
      <c r="G310" s="81">
        <v>43237</v>
      </c>
      <c r="H310" s="82">
        <v>275.45999999999998</v>
      </c>
      <c r="I310" s="166">
        <f t="shared" si="10"/>
        <v>-1.232777374909455E-3</v>
      </c>
      <c r="J310" s="77"/>
      <c r="K310" s="77"/>
    </row>
    <row r="311" spans="1:11" ht="18">
      <c r="A311" s="237">
        <v>43252</v>
      </c>
      <c r="B311" s="238">
        <v>91.63</v>
      </c>
      <c r="C311" s="47">
        <f t="shared" si="11"/>
        <v>9.6969696969695374E-3</v>
      </c>
      <c r="G311" s="81">
        <v>43238</v>
      </c>
      <c r="H311" s="82">
        <v>272.17</v>
      </c>
      <c r="I311" s="166">
        <f t="shared" si="10"/>
        <v>-1.194365788136198E-2</v>
      </c>
      <c r="J311" s="77"/>
      <c r="K311" s="77"/>
    </row>
    <row r="312" spans="1:11" ht="18">
      <c r="A312" s="237">
        <v>43253</v>
      </c>
      <c r="B312" s="238">
        <v>91.01</v>
      </c>
      <c r="C312" s="47">
        <f t="shared" si="11"/>
        <v>-6.7663429007965847E-3</v>
      </c>
      <c r="G312" s="81">
        <v>43239</v>
      </c>
      <c r="H312" s="82">
        <v>276.56</v>
      </c>
      <c r="I312" s="166">
        <f t="shared" si="10"/>
        <v>1.6129624866811243E-2</v>
      </c>
      <c r="J312" s="77"/>
      <c r="K312" s="77"/>
    </row>
    <row r="313" spans="1:11" ht="18">
      <c r="A313" s="237">
        <v>43256</v>
      </c>
      <c r="B313" s="238">
        <v>89.81</v>
      </c>
      <c r="C313" s="47">
        <f t="shared" si="11"/>
        <v>-1.3185364245687281E-2</v>
      </c>
      <c r="G313" s="81">
        <v>43242</v>
      </c>
      <c r="H313" s="82">
        <v>276.66000000000003</v>
      </c>
      <c r="I313" s="166">
        <f t="shared" si="10"/>
        <v>3.615851894707145E-4</v>
      </c>
      <c r="J313" s="77"/>
      <c r="K313" s="77"/>
    </row>
    <row r="314" spans="1:11" ht="18">
      <c r="A314" s="237">
        <v>43257</v>
      </c>
      <c r="B314" s="238">
        <v>90.34</v>
      </c>
      <c r="C314" s="47">
        <f t="shared" si="11"/>
        <v>5.9013472887206042E-3</v>
      </c>
      <c r="G314" s="81">
        <v>43243</v>
      </c>
      <c r="H314" s="82">
        <v>272.01</v>
      </c>
      <c r="I314" s="166">
        <f t="shared" si="10"/>
        <v>-1.6807633918889731E-2</v>
      </c>
      <c r="J314" s="77"/>
      <c r="K314" s="77"/>
    </row>
    <row r="315" spans="1:11" ht="18">
      <c r="A315" s="237">
        <v>43258</v>
      </c>
      <c r="B315" s="238">
        <v>89.45</v>
      </c>
      <c r="C315" s="47">
        <f t="shared" si="11"/>
        <v>-9.8516714633606339E-3</v>
      </c>
      <c r="G315" s="81">
        <v>43244</v>
      </c>
      <c r="H315" s="82">
        <v>272.47000000000003</v>
      </c>
      <c r="I315" s="166">
        <f t="shared" si="10"/>
        <v>1.6911142972686477E-3</v>
      </c>
      <c r="J315" s="77"/>
      <c r="K315" s="77"/>
    </row>
    <row r="316" spans="1:11" ht="18">
      <c r="A316" s="237">
        <v>43259</v>
      </c>
      <c r="B316" s="238">
        <v>88.71</v>
      </c>
      <c r="C316" s="47">
        <f t="shared" si="11"/>
        <v>-8.2727780883176116E-3</v>
      </c>
      <c r="G316" s="81">
        <v>43245</v>
      </c>
      <c r="H316" s="82">
        <v>274.97000000000003</v>
      </c>
      <c r="I316" s="166">
        <f t="shared" si="10"/>
        <v>9.1753220538040026E-3</v>
      </c>
      <c r="J316" s="77"/>
      <c r="K316" s="77"/>
    </row>
    <row r="317" spans="1:11" ht="18">
      <c r="A317" s="237">
        <v>43260</v>
      </c>
      <c r="B317" s="238">
        <v>87.22</v>
      </c>
      <c r="C317" s="47">
        <f t="shared" si="11"/>
        <v>-1.6796302558899745E-2</v>
      </c>
      <c r="G317" s="81">
        <v>43246</v>
      </c>
      <c r="H317" s="82">
        <v>278.89999999999998</v>
      </c>
      <c r="I317" s="166">
        <f t="shared" si="10"/>
        <v>1.4292468269265557E-2</v>
      </c>
      <c r="J317" s="77"/>
      <c r="K317" s="77"/>
    </row>
    <row r="318" spans="1:11" ht="18">
      <c r="A318" s="237">
        <v>43263</v>
      </c>
      <c r="B318" s="238">
        <v>84.91</v>
      </c>
      <c r="C318" s="47">
        <f t="shared" si="11"/>
        <v>-2.6484751203852408E-2</v>
      </c>
      <c r="G318" s="81">
        <v>43249</v>
      </c>
      <c r="H318" s="82">
        <v>283.68</v>
      </c>
      <c r="I318" s="166">
        <f t="shared" si="10"/>
        <v>1.7138759411975624E-2</v>
      </c>
      <c r="J318" s="77"/>
      <c r="K318" s="77"/>
    </row>
    <row r="319" spans="1:11" ht="18">
      <c r="A319" s="237">
        <v>43264</v>
      </c>
      <c r="B319" s="238">
        <v>84.87</v>
      </c>
      <c r="C319" s="47">
        <f t="shared" si="11"/>
        <v>-4.7108703332932045E-4</v>
      </c>
      <c r="G319" s="81">
        <v>43250</v>
      </c>
      <c r="H319" s="82">
        <v>286.8</v>
      </c>
      <c r="I319" s="166">
        <f t="shared" si="10"/>
        <v>1.0998307952622799E-2</v>
      </c>
      <c r="J319" s="77"/>
      <c r="K319" s="77"/>
    </row>
    <row r="320" spans="1:11" ht="18">
      <c r="A320" s="237">
        <v>43265</v>
      </c>
      <c r="B320" s="238">
        <v>87.41</v>
      </c>
      <c r="C320" s="47">
        <f t="shared" si="11"/>
        <v>2.9928125368210212E-2</v>
      </c>
      <c r="G320" s="81">
        <v>43251</v>
      </c>
      <c r="H320" s="82">
        <v>284.32</v>
      </c>
      <c r="I320" s="166">
        <f t="shared" si="10"/>
        <v>-8.6471408647141867E-3</v>
      </c>
      <c r="J320" s="77"/>
      <c r="K320" s="77"/>
    </row>
    <row r="321" spans="1:11" ht="18">
      <c r="A321" s="237">
        <v>43266</v>
      </c>
      <c r="B321" s="238">
        <v>85.47</v>
      </c>
      <c r="C321" s="47">
        <f t="shared" si="11"/>
        <v>-2.2194256950005653E-2</v>
      </c>
      <c r="G321" s="81">
        <v>43252</v>
      </c>
      <c r="H321" s="82">
        <v>284.52</v>
      </c>
      <c r="I321" s="166">
        <f t="shared" si="10"/>
        <v>7.0343275182893628E-4</v>
      </c>
      <c r="J321" s="77"/>
      <c r="K321" s="77"/>
    </row>
    <row r="322" spans="1:11" ht="18">
      <c r="A322" s="237">
        <v>43267</v>
      </c>
      <c r="B322" s="238">
        <v>85.93</v>
      </c>
      <c r="C322" s="47">
        <f t="shared" si="11"/>
        <v>5.3820053820055058E-3</v>
      </c>
      <c r="G322" s="81">
        <v>43253</v>
      </c>
      <c r="H322" s="82">
        <v>283.41000000000003</v>
      </c>
      <c r="I322" s="166">
        <f t="shared" si="10"/>
        <v>-3.901307465204451E-3</v>
      </c>
      <c r="J322" s="77"/>
      <c r="K322" s="77"/>
    </row>
    <row r="323" spans="1:11" ht="18">
      <c r="A323" s="237">
        <v>43271</v>
      </c>
      <c r="B323" s="238">
        <v>85.68</v>
      </c>
      <c r="C323" s="47">
        <f t="shared" si="11"/>
        <v>-2.9093448155474988E-3</v>
      </c>
      <c r="G323" s="81">
        <v>43256</v>
      </c>
      <c r="H323" s="82">
        <v>286.02999999999997</v>
      </c>
      <c r="I323" s="166">
        <f t="shared" si="10"/>
        <v>9.2445573550683502E-3</v>
      </c>
      <c r="J323" s="77"/>
      <c r="K323" s="77"/>
    </row>
    <row r="324" spans="1:11" ht="18">
      <c r="A324" s="237">
        <v>43272</v>
      </c>
      <c r="B324" s="238">
        <v>85.81</v>
      </c>
      <c r="C324" s="47">
        <f t="shared" si="11"/>
        <v>1.5172735760971001E-3</v>
      </c>
      <c r="G324" s="81">
        <v>43257</v>
      </c>
      <c r="H324" s="82">
        <v>284.61</v>
      </c>
      <c r="I324" s="166">
        <f t="shared" si="10"/>
        <v>-4.9645142117957786E-3</v>
      </c>
      <c r="J324" s="77"/>
      <c r="K324" s="77"/>
    </row>
    <row r="325" spans="1:11" ht="18">
      <c r="A325" s="237">
        <v>43273</v>
      </c>
      <c r="B325" s="238">
        <v>86.38</v>
      </c>
      <c r="C325" s="47">
        <f t="shared" si="11"/>
        <v>6.6425824495979224E-3</v>
      </c>
      <c r="G325" s="81">
        <v>43258</v>
      </c>
      <c r="H325" s="82">
        <v>287.77999999999997</v>
      </c>
      <c r="I325" s="166">
        <f t="shared" si="10"/>
        <v>1.1138048557675306E-2</v>
      </c>
      <c r="J325" s="77"/>
      <c r="K325" s="77"/>
    </row>
    <row r="326" spans="1:11" ht="18">
      <c r="A326" s="237">
        <v>43274</v>
      </c>
      <c r="B326" s="238">
        <v>86.49</v>
      </c>
      <c r="C326" s="47">
        <f t="shared" si="11"/>
        <v>1.2734429266034741E-3</v>
      </c>
      <c r="G326" s="81">
        <v>43259</v>
      </c>
      <c r="H326" s="82">
        <v>284.72000000000003</v>
      </c>
      <c r="I326" s="166">
        <f t="shared" si="10"/>
        <v>-1.0633122524150163E-2</v>
      </c>
      <c r="J326" s="77"/>
      <c r="K326" s="77"/>
    </row>
    <row r="327" spans="1:11" ht="18">
      <c r="A327" s="237">
        <v>43277</v>
      </c>
      <c r="B327" s="238">
        <v>85.31</v>
      </c>
      <c r="C327" s="47">
        <f t="shared" si="11"/>
        <v>-1.3643195745172809E-2</v>
      </c>
      <c r="G327" s="81">
        <v>43260</v>
      </c>
      <c r="H327" s="82">
        <v>281.85000000000002</v>
      </c>
      <c r="I327" s="166">
        <f t="shared" si="10"/>
        <v>-1.0080078673784798E-2</v>
      </c>
      <c r="J327" s="77"/>
      <c r="K327" s="77"/>
    </row>
    <row r="328" spans="1:11" ht="18">
      <c r="A328" s="237">
        <v>43278</v>
      </c>
      <c r="B328" s="238">
        <v>84.66</v>
      </c>
      <c r="C328" s="47">
        <f t="shared" si="11"/>
        <v>-7.6192708943852994E-3</v>
      </c>
      <c r="G328" s="81">
        <v>43263</v>
      </c>
      <c r="H328" s="82">
        <v>272.14</v>
      </c>
      <c r="I328" s="166">
        <f t="shared" si="10"/>
        <v>-3.4450949086393567E-2</v>
      </c>
      <c r="J328" s="77"/>
      <c r="K328" s="77"/>
    </row>
    <row r="329" spans="1:11" ht="18">
      <c r="A329" s="237">
        <v>43279</v>
      </c>
      <c r="B329" s="238">
        <v>84.97</v>
      </c>
      <c r="C329" s="47">
        <f t="shared" si="11"/>
        <v>3.6617056461138997E-3</v>
      </c>
      <c r="G329" s="81">
        <v>43264</v>
      </c>
      <c r="H329" s="82">
        <v>273.58999999999997</v>
      </c>
      <c r="I329" s="166">
        <f t="shared" si="10"/>
        <v>5.3281399279783148E-3</v>
      </c>
      <c r="J329" s="77"/>
      <c r="K329" s="77"/>
    </row>
    <row r="330" spans="1:11" ht="18">
      <c r="A330" s="237">
        <v>43280</v>
      </c>
      <c r="B330" s="238">
        <v>85.32</v>
      </c>
      <c r="C330" s="47">
        <f t="shared" si="11"/>
        <v>4.1191008591265899E-3</v>
      </c>
      <c r="G330" s="81">
        <v>43265</v>
      </c>
      <c r="H330" s="82">
        <v>274.91000000000003</v>
      </c>
      <c r="I330" s="166">
        <f t="shared" si="10"/>
        <v>4.8247377462629082E-3</v>
      </c>
      <c r="J330" s="77"/>
      <c r="K330" s="77"/>
    </row>
    <row r="331" spans="1:11" ht="18">
      <c r="A331" s="237">
        <v>43281</v>
      </c>
      <c r="B331" s="238">
        <v>86.15</v>
      </c>
      <c r="C331" s="47">
        <f t="shared" si="11"/>
        <v>9.7280825128926995E-3</v>
      </c>
      <c r="G331" s="81">
        <v>43266</v>
      </c>
      <c r="H331" s="82">
        <v>270.70999999999998</v>
      </c>
      <c r="I331" s="166">
        <f t="shared" si="10"/>
        <v>-1.5277727256193141E-2</v>
      </c>
      <c r="J331" s="77"/>
      <c r="K331" s="77"/>
    </row>
    <row r="332" spans="1:11" ht="18">
      <c r="A332" s="237">
        <v>43285</v>
      </c>
      <c r="B332" s="238">
        <v>85.47</v>
      </c>
      <c r="C332" s="47">
        <f t="shared" si="11"/>
        <v>-7.893209518282096E-3</v>
      </c>
      <c r="G332" s="81">
        <v>43267</v>
      </c>
      <c r="H332" s="82">
        <v>269.87</v>
      </c>
      <c r="I332" s="166">
        <f t="shared" si="10"/>
        <v>-3.1029514979128425E-3</v>
      </c>
      <c r="J332" s="77"/>
      <c r="K332" s="77"/>
    </row>
    <row r="333" spans="1:11" ht="18">
      <c r="A333" s="237">
        <v>43286</v>
      </c>
      <c r="B333" s="238">
        <v>84.78</v>
      </c>
      <c r="C333" s="47">
        <f t="shared" si="11"/>
        <v>-8.0730080730080367E-3</v>
      </c>
      <c r="G333" s="81">
        <v>43270</v>
      </c>
      <c r="H333" s="82">
        <v>268.97000000000003</v>
      </c>
      <c r="I333" s="166">
        <f t="shared" si="10"/>
        <v>-3.3349390447251492E-3</v>
      </c>
      <c r="J333" s="77"/>
      <c r="K333" s="77"/>
    </row>
    <row r="334" spans="1:11" ht="18">
      <c r="A334" s="237">
        <v>43287</v>
      </c>
      <c r="B334" s="238">
        <v>85.03</v>
      </c>
      <c r="C334" s="47">
        <f t="shared" si="11"/>
        <v>2.9488086812927694E-3</v>
      </c>
      <c r="G334" s="81">
        <v>43271</v>
      </c>
      <c r="H334" s="82">
        <v>273.79000000000002</v>
      </c>
      <c r="I334" s="166">
        <f t="shared" si="10"/>
        <v>1.7920214150277003E-2</v>
      </c>
      <c r="J334" s="77"/>
      <c r="K334" s="77"/>
    </row>
    <row r="335" spans="1:11" ht="18">
      <c r="A335" s="237">
        <v>43288</v>
      </c>
      <c r="B335" s="238">
        <v>84.63</v>
      </c>
      <c r="C335" s="47">
        <f t="shared" si="11"/>
        <v>-4.7042220392803369E-3</v>
      </c>
      <c r="G335" s="81">
        <v>43272</v>
      </c>
      <c r="H335" s="82">
        <v>268.32</v>
      </c>
      <c r="I335" s="166">
        <f t="shared" ref="I335:I398" si="12">H335/H334-1</f>
        <v>-1.9978815880784651E-2</v>
      </c>
      <c r="J335" s="77"/>
      <c r="K335" s="77"/>
    </row>
    <row r="336" spans="1:11" ht="18">
      <c r="A336" s="237">
        <v>43291</v>
      </c>
      <c r="B336" s="238">
        <v>83.92</v>
      </c>
      <c r="C336" s="47">
        <f t="shared" si="11"/>
        <v>-8.3894600023631805E-3</v>
      </c>
      <c r="G336" s="81">
        <v>43273</v>
      </c>
      <c r="H336" s="82">
        <v>269.44</v>
      </c>
      <c r="I336" s="166">
        <f t="shared" si="12"/>
        <v>4.174120453190211E-3</v>
      </c>
      <c r="J336" s="77"/>
      <c r="K336" s="77"/>
    </row>
    <row r="337" spans="1:11" ht="18">
      <c r="A337" s="237">
        <v>43292</v>
      </c>
      <c r="B337" s="238">
        <v>83.68</v>
      </c>
      <c r="C337" s="47">
        <f t="shared" si="11"/>
        <v>-2.8598665395613843E-3</v>
      </c>
      <c r="G337" s="81">
        <v>43274</v>
      </c>
      <c r="H337" s="82">
        <v>273.14999999999998</v>
      </c>
      <c r="I337" s="166">
        <f t="shared" si="12"/>
        <v>1.3769299287410774E-2</v>
      </c>
      <c r="J337" s="77"/>
      <c r="K337" s="77"/>
    </row>
    <row r="338" spans="1:11" ht="18">
      <c r="A338" s="237">
        <v>43293</v>
      </c>
      <c r="B338" s="238">
        <v>83.34</v>
      </c>
      <c r="C338" s="47">
        <f t="shared" si="11"/>
        <v>-4.0630975143404191E-3</v>
      </c>
      <c r="G338" s="81">
        <v>43277</v>
      </c>
      <c r="H338" s="82">
        <v>276.75</v>
      </c>
      <c r="I338" s="166">
        <f t="shared" si="12"/>
        <v>1.3179571663920919E-2</v>
      </c>
      <c r="J338" s="77"/>
      <c r="K338" s="77"/>
    </row>
    <row r="339" spans="1:11" ht="18">
      <c r="A339" s="237">
        <v>43294</v>
      </c>
      <c r="B339" s="238">
        <v>81.88</v>
      </c>
      <c r="C339" s="47">
        <f t="shared" si="11"/>
        <v>-1.7518598512119121E-2</v>
      </c>
      <c r="G339" s="81">
        <v>43278</v>
      </c>
      <c r="H339" s="82">
        <v>276.66000000000003</v>
      </c>
      <c r="I339" s="166">
        <f t="shared" si="12"/>
        <v>-3.252032520324466E-4</v>
      </c>
      <c r="J339" s="77"/>
      <c r="K339" s="77"/>
    </row>
    <row r="340" spans="1:11" ht="18">
      <c r="A340" s="237">
        <v>43295</v>
      </c>
      <c r="B340" s="238">
        <v>82.7</v>
      </c>
      <c r="C340" s="47">
        <f t="shared" si="11"/>
        <v>1.0014655593551636E-2</v>
      </c>
      <c r="G340" s="81">
        <v>43279</v>
      </c>
      <c r="H340" s="82">
        <v>273.39</v>
      </c>
      <c r="I340" s="166">
        <f t="shared" si="12"/>
        <v>-1.1819561917154719E-2</v>
      </c>
      <c r="J340" s="77"/>
      <c r="K340" s="77"/>
    </row>
    <row r="341" spans="1:11" ht="18">
      <c r="A341" s="237">
        <v>43298</v>
      </c>
      <c r="B341" s="238">
        <v>82.74</v>
      </c>
      <c r="C341" s="47">
        <f t="shared" si="11"/>
        <v>4.8367593712206336E-4</v>
      </c>
      <c r="G341" s="81">
        <v>43280</v>
      </c>
      <c r="H341" s="82">
        <v>270.16000000000003</v>
      </c>
      <c r="I341" s="166">
        <f t="shared" si="12"/>
        <v>-1.1814623797505308E-2</v>
      </c>
      <c r="J341" s="77"/>
      <c r="K341" s="77"/>
    </row>
    <row r="342" spans="1:11" ht="18">
      <c r="A342" s="237">
        <v>43299</v>
      </c>
      <c r="B342" s="238">
        <v>83.95</v>
      </c>
      <c r="C342" s="47">
        <f t="shared" si="11"/>
        <v>1.4624123761179719E-2</v>
      </c>
      <c r="G342" s="81">
        <v>43281</v>
      </c>
      <c r="H342" s="82">
        <v>268.42</v>
      </c>
      <c r="I342" s="166">
        <f t="shared" si="12"/>
        <v>-6.4406277761327457E-3</v>
      </c>
      <c r="J342" s="77"/>
      <c r="K342" s="77"/>
    </row>
    <row r="343" spans="1:11" ht="18">
      <c r="A343" s="237">
        <v>43300</v>
      </c>
      <c r="B343" s="238">
        <v>84.61</v>
      </c>
      <c r="C343" s="47">
        <f t="shared" ref="C343:C406" si="13">B343/B342-1</f>
        <v>7.8618225134008402E-3</v>
      </c>
      <c r="G343" s="81">
        <v>43284</v>
      </c>
      <c r="H343" s="82">
        <v>268.43</v>
      </c>
      <c r="I343" s="166">
        <f t="shared" si="12"/>
        <v>3.7255048058959517E-5</v>
      </c>
      <c r="J343" s="77"/>
      <c r="K343" s="77"/>
    </row>
    <row r="344" spans="1:11" ht="18">
      <c r="A344" s="237">
        <v>43301</v>
      </c>
      <c r="B344" s="238">
        <v>85.08</v>
      </c>
      <c r="C344" s="47">
        <f t="shared" si="13"/>
        <v>5.5548989481148947E-3</v>
      </c>
      <c r="G344" s="81">
        <v>43285</v>
      </c>
      <c r="H344" s="82">
        <v>267.56</v>
      </c>
      <c r="I344" s="166">
        <f t="shared" si="12"/>
        <v>-3.2410684349737373E-3</v>
      </c>
      <c r="J344" s="77"/>
      <c r="K344" s="77"/>
    </row>
    <row r="345" spans="1:11" ht="18">
      <c r="A345" s="237">
        <v>43302</v>
      </c>
      <c r="B345" s="238">
        <v>86.01</v>
      </c>
      <c r="C345" s="47">
        <f t="shared" si="13"/>
        <v>1.0930888575458431E-2</v>
      </c>
      <c r="G345" s="81">
        <v>43286</v>
      </c>
      <c r="H345" s="82">
        <v>264.97000000000003</v>
      </c>
      <c r="I345" s="166">
        <f t="shared" si="12"/>
        <v>-9.6800717596052799E-3</v>
      </c>
      <c r="J345" s="77"/>
      <c r="K345" s="77"/>
    </row>
    <row r="346" spans="1:11" ht="18">
      <c r="A346" s="237">
        <v>43305</v>
      </c>
      <c r="B346" s="238">
        <v>86.07</v>
      </c>
      <c r="C346" s="47">
        <f t="shared" si="13"/>
        <v>6.9759330310414924E-4</v>
      </c>
      <c r="G346" s="81">
        <v>43287</v>
      </c>
      <c r="H346" s="82">
        <v>268.51</v>
      </c>
      <c r="I346" s="166">
        <f t="shared" si="12"/>
        <v>1.3360003019209588E-2</v>
      </c>
      <c r="J346" s="77"/>
      <c r="K346" s="77"/>
    </row>
    <row r="347" spans="1:11" ht="18">
      <c r="A347" s="237">
        <v>43306</v>
      </c>
      <c r="B347" s="238">
        <v>85.27</v>
      </c>
      <c r="C347" s="47">
        <f t="shared" si="13"/>
        <v>-9.2947600790054263E-3</v>
      </c>
      <c r="G347" s="81">
        <v>43288</v>
      </c>
      <c r="H347" s="82">
        <v>269.23</v>
      </c>
      <c r="I347" s="166">
        <f t="shared" si="12"/>
        <v>2.6814643774906166E-3</v>
      </c>
      <c r="J347" s="77"/>
      <c r="K347" s="77"/>
    </row>
    <row r="348" spans="1:11" ht="18">
      <c r="A348" s="237">
        <v>43307</v>
      </c>
      <c r="B348" s="238">
        <v>86.56</v>
      </c>
      <c r="C348" s="47">
        <f t="shared" si="13"/>
        <v>1.5128415620968783E-2</v>
      </c>
      <c r="G348" s="81">
        <v>43291</v>
      </c>
      <c r="H348" s="82">
        <v>264.19</v>
      </c>
      <c r="I348" s="166">
        <f t="shared" si="12"/>
        <v>-1.8720053485867139E-2</v>
      </c>
      <c r="J348" s="77"/>
      <c r="K348" s="77"/>
    </row>
    <row r="349" spans="1:11" ht="18">
      <c r="A349" s="237">
        <v>43308</v>
      </c>
      <c r="B349" s="238">
        <v>87.68</v>
      </c>
      <c r="C349" s="47">
        <f t="shared" si="13"/>
        <v>1.2939001848428777E-2</v>
      </c>
      <c r="G349" s="81">
        <v>43292</v>
      </c>
      <c r="H349" s="82">
        <v>261.17</v>
      </c>
      <c r="I349" s="166">
        <f t="shared" si="12"/>
        <v>-1.1431166963170369E-2</v>
      </c>
      <c r="J349" s="77"/>
      <c r="K349" s="77"/>
    </row>
    <row r="350" spans="1:11" ht="18">
      <c r="A350" s="237">
        <v>43309</v>
      </c>
      <c r="B350" s="238">
        <v>88.02</v>
      </c>
      <c r="C350" s="47">
        <f t="shared" si="13"/>
        <v>3.8777372262772669E-3</v>
      </c>
      <c r="G350" s="81">
        <v>43293</v>
      </c>
      <c r="H350" s="82">
        <v>261.8</v>
      </c>
      <c r="I350" s="166">
        <f t="shared" si="12"/>
        <v>2.4122219244169241E-3</v>
      </c>
      <c r="J350" s="77"/>
      <c r="K350" s="77"/>
    </row>
    <row r="351" spans="1:11" ht="18">
      <c r="A351" s="237">
        <v>43312</v>
      </c>
      <c r="B351" s="238">
        <v>88.07</v>
      </c>
      <c r="C351" s="47">
        <f t="shared" si="13"/>
        <v>5.6805271529203338E-4</v>
      </c>
      <c r="G351" s="81">
        <v>43294</v>
      </c>
      <c r="H351" s="82">
        <v>259.8</v>
      </c>
      <c r="I351" s="166">
        <f t="shared" si="12"/>
        <v>-7.6394194041252694E-3</v>
      </c>
      <c r="J351" s="77"/>
      <c r="K351" s="77"/>
    </row>
    <row r="352" spans="1:11" ht="18">
      <c r="A352" s="237">
        <v>43313</v>
      </c>
      <c r="B352" s="238">
        <v>86.79</v>
      </c>
      <c r="C352" s="47">
        <f t="shared" si="13"/>
        <v>-1.4533893493811623E-2</v>
      </c>
      <c r="G352" s="81">
        <v>43295</v>
      </c>
      <c r="H352" s="82">
        <v>259.3</v>
      </c>
      <c r="I352" s="166">
        <f t="shared" si="12"/>
        <v>-1.9245573518090753E-3</v>
      </c>
      <c r="J352" s="77"/>
      <c r="K352" s="77"/>
    </row>
    <row r="353" spans="1:11" ht="18">
      <c r="A353" s="237">
        <v>43314</v>
      </c>
      <c r="B353" s="238">
        <v>88.46</v>
      </c>
      <c r="C353" s="47">
        <f t="shared" si="13"/>
        <v>1.9241848139186501E-2</v>
      </c>
      <c r="G353" s="81">
        <v>43298</v>
      </c>
      <c r="H353" s="82">
        <v>263.72000000000003</v>
      </c>
      <c r="I353" s="166">
        <f t="shared" si="12"/>
        <v>1.7045892788276173E-2</v>
      </c>
      <c r="J353" s="77"/>
      <c r="K353" s="77"/>
    </row>
    <row r="354" spans="1:11" ht="18">
      <c r="A354" s="237">
        <v>43315</v>
      </c>
      <c r="B354" s="238">
        <v>88.65</v>
      </c>
      <c r="C354" s="47">
        <f t="shared" si="13"/>
        <v>2.1478634411034037E-3</v>
      </c>
      <c r="G354" s="81">
        <v>43299</v>
      </c>
      <c r="H354" s="82">
        <v>264.39999999999998</v>
      </c>
      <c r="I354" s="166">
        <f t="shared" si="12"/>
        <v>2.5784923403608939E-3</v>
      </c>
      <c r="J354" s="77"/>
      <c r="K354" s="77"/>
    </row>
    <row r="355" spans="1:11" ht="18">
      <c r="A355" s="237">
        <v>43316</v>
      </c>
      <c r="B355" s="238">
        <v>88.47</v>
      </c>
      <c r="C355" s="47">
        <f t="shared" si="13"/>
        <v>-2.0304568527919065E-3</v>
      </c>
      <c r="G355" s="81">
        <v>43300</v>
      </c>
      <c r="H355" s="82">
        <v>265.77999999999997</v>
      </c>
      <c r="I355" s="166">
        <f t="shared" si="12"/>
        <v>5.2193645990923354E-3</v>
      </c>
      <c r="J355" s="77"/>
      <c r="K355" s="77"/>
    </row>
    <row r="356" spans="1:11" ht="18">
      <c r="A356" s="237">
        <v>43319</v>
      </c>
      <c r="B356" s="238">
        <v>89.78</v>
      </c>
      <c r="C356" s="47">
        <f t="shared" si="13"/>
        <v>1.4807279303718834E-2</v>
      </c>
      <c r="G356" s="81">
        <v>43301</v>
      </c>
      <c r="H356" s="82">
        <v>266.7</v>
      </c>
      <c r="I356" s="166">
        <f t="shared" si="12"/>
        <v>3.4615095191512513E-3</v>
      </c>
      <c r="J356" s="77"/>
      <c r="K356" s="77"/>
    </row>
    <row r="357" spans="1:11" ht="18">
      <c r="A357" s="237">
        <v>43320</v>
      </c>
      <c r="B357" s="238">
        <v>88.28</v>
      </c>
      <c r="C357" s="47">
        <f t="shared" si="13"/>
        <v>-1.6707507239919761E-2</v>
      </c>
      <c r="G357" s="81">
        <v>43302</v>
      </c>
      <c r="H357" s="82">
        <v>266.48</v>
      </c>
      <c r="I357" s="166">
        <f t="shared" si="12"/>
        <v>-8.2489688788889293E-4</v>
      </c>
      <c r="J357" s="77"/>
      <c r="K357" s="77"/>
    </row>
    <row r="358" spans="1:11" ht="18">
      <c r="A358" s="237">
        <v>43321</v>
      </c>
      <c r="B358" s="238">
        <v>89.86</v>
      </c>
      <c r="C358" s="47">
        <f t="shared" si="13"/>
        <v>1.7897598550068006E-2</v>
      </c>
      <c r="G358" s="81">
        <v>43305</v>
      </c>
      <c r="H358" s="82">
        <v>265.98</v>
      </c>
      <c r="I358" s="166">
        <f t="shared" si="12"/>
        <v>-1.8763134193935382E-3</v>
      </c>
      <c r="J358" s="77"/>
      <c r="K358" s="77"/>
    </row>
    <row r="359" spans="1:11" ht="18">
      <c r="A359" s="237">
        <v>43322</v>
      </c>
      <c r="B359" s="238">
        <v>89.49</v>
      </c>
      <c r="C359" s="47">
        <f t="shared" si="13"/>
        <v>-4.1175161362119184E-3</v>
      </c>
      <c r="G359" s="81">
        <v>43306</v>
      </c>
      <c r="H359" s="82">
        <v>265.77999999999997</v>
      </c>
      <c r="I359" s="166">
        <f t="shared" si="12"/>
        <v>-7.5193623580738223E-4</v>
      </c>
      <c r="J359" s="77"/>
      <c r="K359" s="77"/>
    </row>
    <row r="360" spans="1:11" ht="18">
      <c r="A360" s="237">
        <v>43323</v>
      </c>
      <c r="B360" s="238">
        <v>90.17</v>
      </c>
      <c r="C360" s="47">
        <f t="shared" si="13"/>
        <v>7.5986143703208331E-3</v>
      </c>
      <c r="G360" s="81">
        <v>43307</v>
      </c>
      <c r="H360" s="82">
        <v>266.66000000000003</v>
      </c>
      <c r="I360" s="166">
        <f t="shared" si="12"/>
        <v>3.3110091052752644E-3</v>
      </c>
      <c r="J360" s="77"/>
      <c r="K360" s="77"/>
    </row>
    <row r="361" spans="1:11" ht="18">
      <c r="A361" s="237">
        <v>43326</v>
      </c>
      <c r="B361" s="238">
        <v>90</v>
      </c>
      <c r="C361" s="47">
        <f t="shared" si="13"/>
        <v>-1.8853277143173752E-3</v>
      </c>
      <c r="G361" s="81">
        <v>43308</v>
      </c>
      <c r="H361" s="82">
        <v>268.45</v>
      </c>
      <c r="I361" s="166">
        <f t="shared" si="12"/>
        <v>6.712667816695328E-3</v>
      </c>
      <c r="J361" s="77"/>
      <c r="K361" s="77"/>
    </row>
    <row r="362" spans="1:11" ht="18">
      <c r="A362" s="237">
        <v>43327</v>
      </c>
      <c r="B362" s="238">
        <v>89.22</v>
      </c>
      <c r="C362" s="47">
        <f t="shared" si="13"/>
        <v>-8.6666666666667114E-3</v>
      </c>
      <c r="G362" s="81">
        <v>43309</v>
      </c>
      <c r="H362" s="82">
        <v>267.32</v>
      </c>
      <c r="I362" s="166">
        <f t="shared" si="12"/>
        <v>-4.2093499720617933E-3</v>
      </c>
      <c r="J362" s="77"/>
      <c r="K362" s="77"/>
    </row>
    <row r="363" spans="1:11" ht="18">
      <c r="A363" s="237">
        <v>43328</v>
      </c>
      <c r="B363" s="238">
        <v>88.24</v>
      </c>
      <c r="C363" s="47">
        <f t="shared" si="13"/>
        <v>-1.098408428603459E-2</v>
      </c>
      <c r="G363" s="81">
        <v>43312</v>
      </c>
      <c r="H363" s="82">
        <v>268.36</v>
      </c>
      <c r="I363" s="166">
        <f t="shared" si="12"/>
        <v>3.8904683525362582E-3</v>
      </c>
      <c r="J363" s="77"/>
      <c r="K363" s="77"/>
    </row>
    <row r="364" spans="1:11" ht="18">
      <c r="A364" s="237">
        <v>43329</v>
      </c>
      <c r="B364" s="238">
        <v>88.14</v>
      </c>
      <c r="C364" s="47">
        <f t="shared" si="13"/>
        <v>-1.1332728921124025E-3</v>
      </c>
      <c r="G364" s="81">
        <v>43313</v>
      </c>
      <c r="H364" s="82">
        <v>265.89</v>
      </c>
      <c r="I364" s="166">
        <f t="shared" si="12"/>
        <v>-9.2040542554777671E-3</v>
      </c>
      <c r="J364" s="77"/>
      <c r="K364" s="77"/>
    </row>
    <row r="365" spans="1:11" ht="18">
      <c r="A365" s="237">
        <v>43330</v>
      </c>
      <c r="B365" s="238">
        <v>86.8</v>
      </c>
      <c r="C365" s="47">
        <f t="shared" si="13"/>
        <v>-1.5203085999546229E-2</v>
      </c>
      <c r="G365" s="81">
        <v>43314</v>
      </c>
      <c r="H365" s="82">
        <v>265.88</v>
      </c>
      <c r="I365" s="166">
        <f t="shared" si="12"/>
        <v>-3.7609537778759972E-5</v>
      </c>
      <c r="J365" s="77"/>
      <c r="K365" s="77"/>
    </row>
    <row r="366" spans="1:11" ht="18">
      <c r="A366" s="237">
        <v>43333</v>
      </c>
      <c r="B366" s="238">
        <v>86.16</v>
      </c>
      <c r="C366" s="47">
        <f t="shared" si="13"/>
        <v>-7.3732718894009563E-3</v>
      </c>
      <c r="G366" s="81">
        <v>43315</v>
      </c>
      <c r="H366" s="82">
        <v>267.97000000000003</v>
      </c>
      <c r="I366" s="166">
        <f t="shared" si="12"/>
        <v>7.8606890326464729E-3</v>
      </c>
      <c r="J366" s="77"/>
      <c r="K366" s="77"/>
    </row>
    <row r="367" spans="1:11" ht="18">
      <c r="A367" s="237">
        <v>43334</v>
      </c>
      <c r="B367" s="238">
        <v>87.07</v>
      </c>
      <c r="C367" s="47">
        <f t="shared" si="13"/>
        <v>1.0561745589600768E-2</v>
      </c>
      <c r="G367" s="81">
        <v>43316</v>
      </c>
      <c r="H367" s="82">
        <v>269.67</v>
      </c>
      <c r="I367" s="166">
        <f t="shared" si="12"/>
        <v>6.3439937306415395E-3</v>
      </c>
      <c r="J367" s="77"/>
      <c r="K367" s="77"/>
    </row>
    <row r="368" spans="1:11" ht="18">
      <c r="A368" s="237">
        <v>43335</v>
      </c>
      <c r="B368" s="238">
        <v>86.99</v>
      </c>
      <c r="C368" s="47">
        <f t="shared" si="13"/>
        <v>-9.1880096474095119E-4</v>
      </c>
      <c r="G368" s="81">
        <v>43319</v>
      </c>
      <c r="H368" s="82">
        <v>269.98</v>
      </c>
      <c r="I368" s="166">
        <f t="shared" si="12"/>
        <v>1.1495531575629325E-3</v>
      </c>
      <c r="J368" s="77"/>
      <c r="K368" s="77"/>
    </row>
    <row r="369" spans="1:11" ht="18">
      <c r="A369" s="237">
        <v>43336</v>
      </c>
      <c r="B369" s="238">
        <v>87.91</v>
      </c>
      <c r="C369" s="47">
        <f t="shared" si="13"/>
        <v>1.0575928267616996E-2</v>
      </c>
      <c r="G369" s="81">
        <v>43320</v>
      </c>
      <c r="H369" s="82">
        <v>269.94</v>
      </c>
      <c r="I369" s="166">
        <f t="shared" si="12"/>
        <v>-1.4815912289811717E-4</v>
      </c>
      <c r="J369" s="77"/>
      <c r="K369" s="77"/>
    </row>
    <row r="370" spans="1:11" ht="18">
      <c r="A370" s="237">
        <v>43337</v>
      </c>
      <c r="B370" s="238">
        <v>86.54</v>
      </c>
      <c r="C370" s="47">
        <f t="shared" si="13"/>
        <v>-1.5584120122852818E-2</v>
      </c>
      <c r="G370" s="81">
        <v>43321</v>
      </c>
      <c r="H370" s="82">
        <v>269.95999999999998</v>
      </c>
      <c r="I370" s="166">
        <f t="shared" si="12"/>
        <v>7.4090538638049708E-5</v>
      </c>
      <c r="J370" s="77"/>
      <c r="K370" s="77"/>
    </row>
    <row r="371" spans="1:11" ht="18">
      <c r="A371" s="237">
        <v>43340</v>
      </c>
      <c r="B371" s="238">
        <v>86.02</v>
      </c>
      <c r="C371" s="47">
        <f t="shared" si="13"/>
        <v>-6.008782066096674E-3</v>
      </c>
      <c r="G371" s="81">
        <v>43322</v>
      </c>
      <c r="H371" s="82">
        <v>273.68</v>
      </c>
      <c r="I371" s="166">
        <f t="shared" si="12"/>
        <v>1.3779819232478951E-2</v>
      </c>
      <c r="J371" s="77"/>
      <c r="K371" s="77"/>
    </row>
    <row r="372" spans="1:11" ht="18">
      <c r="A372" s="237">
        <v>43341</v>
      </c>
      <c r="B372" s="238">
        <v>85.99</v>
      </c>
      <c r="C372" s="47">
        <f t="shared" si="13"/>
        <v>-3.487561032318176E-4</v>
      </c>
      <c r="G372" s="81">
        <v>43323</v>
      </c>
      <c r="H372" s="82">
        <v>274.43</v>
      </c>
      <c r="I372" s="166">
        <f t="shared" si="12"/>
        <v>2.7404267757964451E-3</v>
      </c>
      <c r="J372" s="77"/>
      <c r="K372" s="77"/>
    </row>
    <row r="373" spans="1:11" ht="18">
      <c r="A373" s="237">
        <v>43342</v>
      </c>
      <c r="B373" s="238">
        <v>85.3</v>
      </c>
      <c r="C373" s="47">
        <f t="shared" si="13"/>
        <v>-8.0241888591696675E-3</v>
      </c>
      <c r="G373" s="81">
        <v>43326</v>
      </c>
      <c r="H373" s="82">
        <v>274.16000000000003</v>
      </c>
      <c r="I373" s="166">
        <f t="shared" si="12"/>
        <v>-9.8385744998719105E-4</v>
      </c>
      <c r="J373" s="77"/>
      <c r="K373" s="77"/>
    </row>
    <row r="374" spans="1:11" ht="18">
      <c r="A374" s="237">
        <v>43343</v>
      </c>
      <c r="B374" s="238">
        <v>84.78</v>
      </c>
      <c r="C374" s="47">
        <f t="shared" si="13"/>
        <v>-6.096131301289498E-3</v>
      </c>
      <c r="G374" s="81">
        <v>43327</v>
      </c>
      <c r="H374" s="82">
        <v>274.02999999999997</v>
      </c>
      <c r="I374" s="166">
        <f t="shared" si="12"/>
        <v>-4.7417566384611032E-4</v>
      </c>
      <c r="J374" s="77"/>
      <c r="K374" s="77"/>
    </row>
    <row r="375" spans="1:11" ht="18">
      <c r="A375" s="237">
        <v>43344</v>
      </c>
      <c r="B375" s="238">
        <v>85.08</v>
      </c>
      <c r="C375" s="47">
        <f t="shared" si="13"/>
        <v>3.5385704175512345E-3</v>
      </c>
      <c r="G375" s="81">
        <v>43328</v>
      </c>
      <c r="H375" s="82">
        <v>274.42</v>
      </c>
      <c r="I375" s="166">
        <f t="shared" si="12"/>
        <v>1.4232018392148493E-3</v>
      </c>
      <c r="J375" s="77"/>
      <c r="K375" s="77"/>
    </row>
    <row r="376" spans="1:11" ht="18">
      <c r="A376" s="237">
        <v>43348</v>
      </c>
      <c r="B376" s="238">
        <v>84.3</v>
      </c>
      <c r="C376" s="47">
        <f t="shared" si="13"/>
        <v>-9.1678420310296049E-3</v>
      </c>
      <c r="G376" s="81">
        <v>43329</v>
      </c>
      <c r="H376" s="82">
        <v>273.38</v>
      </c>
      <c r="I376" s="166">
        <f t="shared" si="12"/>
        <v>-3.7898112382480642E-3</v>
      </c>
      <c r="J376" s="77"/>
      <c r="K376" s="77"/>
    </row>
    <row r="377" spans="1:11" ht="18">
      <c r="A377" s="237">
        <v>43349</v>
      </c>
      <c r="B377" s="238">
        <v>85.58</v>
      </c>
      <c r="C377" s="47">
        <f t="shared" si="13"/>
        <v>1.5183867141162599E-2</v>
      </c>
      <c r="G377" s="81">
        <v>43330</v>
      </c>
      <c r="H377" s="82">
        <v>271.13</v>
      </c>
      <c r="I377" s="166">
        <f t="shared" si="12"/>
        <v>-8.2303021435364832E-3</v>
      </c>
      <c r="J377" s="77"/>
      <c r="K377" s="77"/>
    </row>
    <row r="378" spans="1:11" ht="18">
      <c r="A378" s="237">
        <v>43350</v>
      </c>
      <c r="B378" s="238">
        <v>85.61</v>
      </c>
      <c r="C378" s="47">
        <f t="shared" si="13"/>
        <v>3.5054919373678217E-4</v>
      </c>
      <c r="G378" s="81">
        <v>43333</v>
      </c>
      <c r="H378" s="82">
        <v>269.26</v>
      </c>
      <c r="I378" s="166">
        <f t="shared" si="12"/>
        <v>-6.8970604507063715E-3</v>
      </c>
      <c r="J378" s="77"/>
      <c r="K378" s="77"/>
    </row>
    <row r="379" spans="1:11" ht="18">
      <c r="A379" s="237">
        <v>43351</v>
      </c>
      <c r="B379" s="238">
        <v>86.13</v>
      </c>
      <c r="C379" s="47">
        <f t="shared" si="13"/>
        <v>6.074056769068914E-3</v>
      </c>
      <c r="G379" s="81">
        <v>43334</v>
      </c>
      <c r="H379" s="82">
        <v>269.58</v>
      </c>
      <c r="I379" s="166">
        <f t="shared" si="12"/>
        <v>1.1884423976824543E-3</v>
      </c>
      <c r="J379" s="77"/>
      <c r="K379" s="77"/>
    </row>
    <row r="380" spans="1:11" ht="18">
      <c r="A380" s="237">
        <v>43354</v>
      </c>
      <c r="B380" s="238">
        <v>86.1</v>
      </c>
      <c r="C380" s="47">
        <f t="shared" si="13"/>
        <v>-3.4831069313834284E-4</v>
      </c>
      <c r="G380" s="81">
        <v>43335</v>
      </c>
      <c r="H380" s="82">
        <v>268.7</v>
      </c>
      <c r="I380" s="166">
        <f t="shared" si="12"/>
        <v>-3.2643371169968072E-3</v>
      </c>
      <c r="J380" s="77"/>
      <c r="K380" s="77"/>
    </row>
    <row r="381" spans="1:11" ht="18">
      <c r="A381" s="237">
        <v>43355</v>
      </c>
      <c r="B381" s="238">
        <v>84.78</v>
      </c>
      <c r="C381" s="47">
        <f t="shared" si="13"/>
        <v>-1.5331010452961591E-2</v>
      </c>
      <c r="G381" s="81">
        <v>43336</v>
      </c>
      <c r="H381" s="82">
        <v>273.05</v>
      </c>
      <c r="I381" s="166">
        <f t="shared" si="12"/>
        <v>1.6189058429475267E-2</v>
      </c>
      <c r="J381" s="77"/>
      <c r="K381" s="77"/>
    </row>
    <row r="382" spans="1:11" ht="18">
      <c r="A382" s="237">
        <v>43356</v>
      </c>
      <c r="B382" s="238">
        <v>84.72</v>
      </c>
      <c r="C382" s="47">
        <f t="shared" si="13"/>
        <v>-7.0771408351033571E-4</v>
      </c>
      <c r="G382" s="81">
        <v>43337</v>
      </c>
      <c r="H382" s="82">
        <v>273.3</v>
      </c>
      <c r="I382" s="166">
        <f t="shared" si="12"/>
        <v>9.155832265153041E-4</v>
      </c>
      <c r="J382" s="77"/>
      <c r="K382" s="77"/>
    </row>
    <row r="383" spans="1:11" ht="18">
      <c r="A383" s="237">
        <v>43357</v>
      </c>
      <c r="B383" s="238">
        <v>84.66</v>
      </c>
      <c r="C383" s="47">
        <f t="shared" si="13"/>
        <v>-7.0821529745046519E-4</v>
      </c>
      <c r="G383" s="81">
        <v>43340</v>
      </c>
      <c r="H383" s="82">
        <v>270.16000000000003</v>
      </c>
      <c r="I383" s="166">
        <f t="shared" si="12"/>
        <v>-1.1489206000731778E-2</v>
      </c>
      <c r="J383" s="77"/>
      <c r="K383" s="77"/>
    </row>
    <row r="384" spans="1:11" ht="18">
      <c r="A384" s="237">
        <v>43358</v>
      </c>
      <c r="B384" s="238">
        <v>84.2</v>
      </c>
      <c r="C384" s="47">
        <f t="shared" si="13"/>
        <v>-5.4334987006849911E-3</v>
      </c>
      <c r="G384" s="81">
        <v>43341</v>
      </c>
      <c r="H384" s="82">
        <v>270.04000000000002</v>
      </c>
      <c r="I384" s="166">
        <f t="shared" si="12"/>
        <v>-4.4418122594025444E-4</v>
      </c>
      <c r="J384" s="77"/>
      <c r="K384" s="77"/>
    </row>
    <row r="385" spans="1:11" ht="18">
      <c r="A385" s="237">
        <v>43361</v>
      </c>
      <c r="B385" s="238">
        <v>84.5</v>
      </c>
      <c r="C385" s="47">
        <f t="shared" si="13"/>
        <v>3.5629453681709222E-3</v>
      </c>
      <c r="G385" s="81">
        <v>43342</v>
      </c>
      <c r="H385" s="82">
        <v>270.04000000000002</v>
      </c>
      <c r="I385" s="166">
        <f t="shared" si="12"/>
        <v>0</v>
      </c>
      <c r="J385" s="77"/>
      <c r="K385" s="77"/>
    </row>
    <row r="386" spans="1:11" ht="18">
      <c r="A386" s="237">
        <v>43362</v>
      </c>
      <c r="B386" s="238">
        <v>83.72</v>
      </c>
      <c r="C386" s="47">
        <f t="shared" si="13"/>
        <v>-9.2307692307692646E-3</v>
      </c>
      <c r="G386" s="81">
        <v>43343</v>
      </c>
      <c r="H386" s="82">
        <v>266.43</v>
      </c>
      <c r="I386" s="166">
        <f t="shared" si="12"/>
        <v>-1.3368389868167685E-2</v>
      </c>
      <c r="J386" s="77"/>
      <c r="K386" s="77"/>
    </row>
    <row r="387" spans="1:11" ht="18">
      <c r="A387" s="237">
        <v>43363</v>
      </c>
      <c r="B387" s="238">
        <v>83.48</v>
      </c>
      <c r="C387" s="47">
        <f t="shared" si="13"/>
        <v>-2.8666985188723348E-3</v>
      </c>
      <c r="G387" s="81">
        <v>43344</v>
      </c>
      <c r="H387" s="82">
        <v>265.77999999999997</v>
      </c>
      <c r="I387" s="166">
        <f t="shared" si="12"/>
        <v>-2.4396652028676469E-3</v>
      </c>
      <c r="J387" s="77"/>
      <c r="K387" s="77"/>
    </row>
    <row r="388" spans="1:11" ht="18">
      <c r="A388" s="237">
        <v>43364</v>
      </c>
      <c r="B388" s="238">
        <v>82.92</v>
      </c>
      <c r="C388" s="47">
        <f t="shared" si="13"/>
        <v>-6.7081935793004144E-3</v>
      </c>
      <c r="G388" s="81">
        <v>43347</v>
      </c>
      <c r="H388" s="82">
        <v>265.18</v>
      </c>
      <c r="I388" s="166">
        <f t="shared" si="12"/>
        <v>-2.2575062081419128E-3</v>
      </c>
      <c r="J388" s="77"/>
      <c r="K388" s="77"/>
    </row>
    <row r="389" spans="1:11" ht="18">
      <c r="A389" s="237">
        <v>43365</v>
      </c>
      <c r="B389" s="238">
        <v>81.92</v>
      </c>
      <c r="C389" s="47">
        <f t="shared" si="13"/>
        <v>-1.2059816690786263E-2</v>
      </c>
      <c r="G389" s="81">
        <v>43348</v>
      </c>
      <c r="H389" s="82">
        <v>264.02</v>
      </c>
      <c r="I389" s="166">
        <f t="shared" si="12"/>
        <v>-4.374387208688546E-3</v>
      </c>
      <c r="J389" s="77"/>
      <c r="K389" s="77"/>
    </row>
    <row r="390" spans="1:11" ht="18">
      <c r="A390" s="237">
        <v>43368</v>
      </c>
      <c r="B390" s="238">
        <v>79.989999999999995</v>
      </c>
      <c r="C390" s="47">
        <f t="shared" si="13"/>
        <v>-2.3559570312500111E-2</v>
      </c>
      <c r="G390" s="81">
        <v>43349</v>
      </c>
      <c r="H390" s="82">
        <v>262.8</v>
      </c>
      <c r="I390" s="166">
        <f t="shared" si="12"/>
        <v>-4.6208620559047286E-3</v>
      </c>
      <c r="J390" s="77"/>
      <c r="K390" s="77"/>
    </row>
    <row r="391" spans="1:11" ht="18">
      <c r="A391" s="237">
        <v>43369</v>
      </c>
      <c r="B391" s="238">
        <v>78.709999999999994</v>
      </c>
      <c r="C391" s="47">
        <f t="shared" si="13"/>
        <v>-1.600200025003129E-2</v>
      </c>
      <c r="G391" s="81">
        <v>43350</v>
      </c>
      <c r="H391" s="82">
        <v>263.10000000000002</v>
      </c>
      <c r="I391" s="166">
        <f t="shared" si="12"/>
        <v>1.1415525114155667E-3</v>
      </c>
      <c r="J391" s="77"/>
      <c r="K391" s="77"/>
    </row>
    <row r="392" spans="1:11" ht="18">
      <c r="A392" s="237">
        <v>43370</v>
      </c>
      <c r="B392" s="238">
        <v>80.599999999999994</v>
      </c>
      <c r="C392" s="47">
        <f t="shared" si="13"/>
        <v>2.4012196671325148E-2</v>
      </c>
      <c r="G392" s="81">
        <v>43351</v>
      </c>
      <c r="H392" s="82">
        <v>266.70999999999998</v>
      </c>
      <c r="I392" s="166">
        <f t="shared" si="12"/>
        <v>1.3721018624097026E-2</v>
      </c>
      <c r="J392" s="77"/>
      <c r="K392" s="77"/>
    </row>
    <row r="393" spans="1:11" ht="18">
      <c r="A393" s="237">
        <v>43371</v>
      </c>
      <c r="B393" s="238">
        <v>79.58</v>
      </c>
      <c r="C393" s="47">
        <f t="shared" si="13"/>
        <v>-1.2655086848635144E-2</v>
      </c>
      <c r="G393" s="81">
        <v>43354</v>
      </c>
      <c r="H393" s="82">
        <v>269.52</v>
      </c>
      <c r="I393" s="166">
        <f t="shared" si="12"/>
        <v>1.053578793446075E-2</v>
      </c>
      <c r="J393" s="77"/>
      <c r="K393" s="77"/>
    </row>
    <row r="394" spans="1:11" ht="18">
      <c r="A394" s="237">
        <v>43372</v>
      </c>
      <c r="B394" s="238">
        <v>79.400000000000006</v>
      </c>
      <c r="C394" s="47">
        <f t="shared" si="13"/>
        <v>-2.2618748429252822E-3</v>
      </c>
      <c r="G394" s="81">
        <v>43355</v>
      </c>
      <c r="H394" s="82">
        <v>267.82</v>
      </c>
      <c r="I394" s="166">
        <f t="shared" si="12"/>
        <v>-6.3075096467793967E-3</v>
      </c>
      <c r="J394" s="77"/>
      <c r="K394" s="77"/>
    </row>
    <row r="395" spans="1:11" ht="18">
      <c r="A395" s="237">
        <v>43375</v>
      </c>
      <c r="B395" s="238">
        <v>80.23</v>
      </c>
      <c r="C395" s="47">
        <f t="shared" si="13"/>
        <v>1.0453400503778409E-2</v>
      </c>
      <c r="G395" s="81">
        <v>43356</v>
      </c>
      <c r="H395" s="82">
        <v>264.52</v>
      </c>
      <c r="I395" s="166">
        <f t="shared" si="12"/>
        <v>-1.2321708610260718E-2</v>
      </c>
      <c r="J395" s="77"/>
      <c r="K395" s="77"/>
    </row>
    <row r="396" spans="1:11" ht="18">
      <c r="A396" s="237">
        <v>43376</v>
      </c>
      <c r="B396" s="238">
        <v>81.739999999999995</v>
      </c>
      <c r="C396" s="47">
        <f t="shared" si="13"/>
        <v>1.8820889941418395E-2</v>
      </c>
      <c r="G396" s="81">
        <v>43357</v>
      </c>
      <c r="H396" s="82">
        <v>263.36</v>
      </c>
      <c r="I396" s="166">
        <f t="shared" si="12"/>
        <v>-4.3853016785119214E-3</v>
      </c>
      <c r="J396" s="77"/>
      <c r="K396" s="77"/>
    </row>
    <row r="397" spans="1:11" ht="18">
      <c r="A397" s="237">
        <v>43377</v>
      </c>
      <c r="B397" s="238">
        <v>80.58</v>
      </c>
      <c r="C397" s="47">
        <f t="shared" si="13"/>
        <v>-1.4191338390017072E-2</v>
      </c>
      <c r="G397" s="81">
        <v>43358</v>
      </c>
      <c r="H397" s="82">
        <v>258.70999999999998</v>
      </c>
      <c r="I397" s="166">
        <f t="shared" si="12"/>
        <v>-1.7656439854192074E-2</v>
      </c>
      <c r="J397" s="77"/>
      <c r="K397" s="77"/>
    </row>
    <row r="398" spans="1:11" ht="18">
      <c r="A398" s="237">
        <v>43378</v>
      </c>
      <c r="B398" s="238">
        <v>80.27</v>
      </c>
      <c r="C398" s="47">
        <f t="shared" si="13"/>
        <v>-3.847108463638671E-3</v>
      </c>
      <c r="G398" s="81">
        <v>43361</v>
      </c>
      <c r="H398" s="82">
        <v>257.75</v>
      </c>
      <c r="I398" s="166">
        <f t="shared" si="12"/>
        <v>-3.7107185651887864E-3</v>
      </c>
      <c r="J398" s="77"/>
      <c r="K398" s="77"/>
    </row>
    <row r="399" spans="1:11" ht="18">
      <c r="A399" s="237">
        <v>43379</v>
      </c>
      <c r="B399" s="238">
        <v>79.19</v>
      </c>
      <c r="C399" s="47">
        <f t="shared" si="13"/>
        <v>-1.3454590756197815E-2</v>
      </c>
      <c r="G399" s="81">
        <v>43362</v>
      </c>
      <c r="H399" s="82">
        <v>259.27</v>
      </c>
      <c r="I399" s="166">
        <f t="shared" ref="I399:I462" si="14">H399/H398-1</f>
        <v>5.8971871968962475E-3</v>
      </c>
      <c r="J399" s="77"/>
      <c r="K399" s="77"/>
    </row>
    <row r="400" spans="1:11" ht="18">
      <c r="A400" s="237">
        <v>43382</v>
      </c>
      <c r="B400" s="238">
        <v>78.959999999999994</v>
      </c>
      <c r="C400" s="47">
        <f t="shared" si="13"/>
        <v>-2.9044071221113743E-3</v>
      </c>
      <c r="G400" s="81">
        <v>43363</v>
      </c>
      <c r="H400" s="82">
        <v>255.58</v>
      </c>
      <c r="I400" s="166">
        <f t="shared" si="14"/>
        <v>-1.4232267520345454E-2</v>
      </c>
      <c r="J400" s="77"/>
      <c r="K400" s="77"/>
    </row>
    <row r="401" spans="1:11" ht="18">
      <c r="A401" s="237">
        <v>43383</v>
      </c>
      <c r="B401" s="238">
        <v>78.900000000000006</v>
      </c>
      <c r="C401" s="47">
        <f t="shared" si="13"/>
        <v>-7.5987841945268642E-4</v>
      </c>
      <c r="G401" s="81">
        <v>43364</v>
      </c>
      <c r="H401" s="82">
        <v>253.71</v>
      </c>
      <c r="I401" s="166">
        <f t="shared" si="14"/>
        <v>-7.3166914469050548E-3</v>
      </c>
      <c r="J401" s="77"/>
      <c r="K401" s="77"/>
    </row>
    <row r="402" spans="1:11" ht="18">
      <c r="A402" s="237">
        <v>43384</v>
      </c>
      <c r="B402" s="238">
        <v>78.62</v>
      </c>
      <c r="C402" s="47">
        <f t="shared" si="13"/>
        <v>-3.5487959442331851E-3</v>
      </c>
      <c r="G402" s="81">
        <v>43365</v>
      </c>
      <c r="H402" s="82">
        <v>249.03</v>
      </c>
      <c r="I402" s="166">
        <f t="shared" si="14"/>
        <v>-1.8446257538134114E-2</v>
      </c>
      <c r="J402" s="77"/>
      <c r="K402" s="77"/>
    </row>
    <row r="403" spans="1:11" ht="18">
      <c r="A403" s="237">
        <v>43385</v>
      </c>
      <c r="B403" s="238">
        <v>78.38</v>
      </c>
      <c r="C403" s="47">
        <f t="shared" si="13"/>
        <v>-3.0526583566523602E-3</v>
      </c>
      <c r="G403" s="81">
        <v>43368</v>
      </c>
      <c r="H403" s="82">
        <v>244.28</v>
      </c>
      <c r="I403" s="166">
        <f t="shared" si="14"/>
        <v>-1.9074007147733218E-2</v>
      </c>
      <c r="J403" s="77"/>
      <c r="K403" s="77"/>
    </row>
    <row r="404" spans="1:11" ht="18">
      <c r="A404" s="237">
        <v>43386</v>
      </c>
      <c r="B404" s="238">
        <v>77.8</v>
      </c>
      <c r="C404" s="47">
        <f t="shared" si="13"/>
        <v>-7.3998468997192868E-3</v>
      </c>
      <c r="G404" s="81">
        <v>43369</v>
      </c>
      <c r="H404" s="82">
        <v>245.01</v>
      </c>
      <c r="I404" s="166">
        <f t="shared" si="14"/>
        <v>2.9883739970524292E-3</v>
      </c>
      <c r="J404" s="77"/>
      <c r="K404" s="77"/>
    </row>
    <row r="405" spans="1:11" ht="18">
      <c r="A405" s="237">
        <v>43389</v>
      </c>
      <c r="B405" s="238">
        <v>78.23</v>
      </c>
      <c r="C405" s="47">
        <f t="shared" si="13"/>
        <v>5.5269922879177535E-3</v>
      </c>
      <c r="G405" s="81">
        <v>43370</v>
      </c>
      <c r="H405" s="82">
        <v>241.76</v>
      </c>
      <c r="I405" s="166">
        <f t="shared" si="14"/>
        <v>-1.326476470348148E-2</v>
      </c>
      <c r="J405" s="77"/>
      <c r="K405" s="77"/>
    </row>
    <row r="406" spans="1:11" ht="18">
      <c r="A406" s="237">
        <v>43390</v>
      </c>
      <c r="B406" s="238">
        <v>79.06</v>
      </c>
      <c r="C406" s="47">
        <f t="shared" si="13"/>
        <v>1.0609740508756182E-2</v>
      </c>
      <c r="G406" s="81">
        <v>43371</v>
      </c>
      <c r="H406" s="82">
        <v>240.73</v>
      </c>
      <c r="I406" s="166">
        <f t="shared" si="14"/>
        <v>-4.2604235605558927E-3</v>
      </c>
      <c r="J406" s="77"/>
      <c r="K406" s="77"/>
    </row>
    <row r="407" spans="1:11" ht="18">
      <c r="A407" s="237">
        <v>43391</v>
      </c>
      <c r="B407" s="238">
        <v>77.88</v>
      </c>
      <c r="C407" s="47">
        <f t="shared" ref="C407:C470" si="15">B407/B406-1</f>
        <v>-1.4925373134328401E-2</v>
      </c>
      <c r="G407" s="81">
        <v>43372</v>
      </c>
      <c r="H407" s="82">
        <v>241.86</v>
      </c>
      <c r="I407" s="166">
        <f t="shared" si="14"/>
        <v>4.6940555809413809E-3</v>
      </c>
      <c r="J407" s="77"/>
      <c r="K407" s="77"/>
    </row>
    <row r="408" spans="1:11" ht="18">
      <c r="A408" s="237">
        <v>43392</v>
      </c>
      <c r="B408" s="238">
        <v>77.09</v>
      </c>
      <c r="C408" s="47">
        <f t="shared" si="15"/>
        <v>-1.0143810991268487E-2</v>
      </c>
      <c r="G408" s="81">
        <v>43375</v>
      </c>
      <c r="H408" s="82">
        <v>242.13</v>
      </c>
      <c r="I408" s="166">
        <f t="shared" si="14"/>
        <v>1.1163483006697561E-3</v>
      </c>
      <c r="J408" s="77"/>
      <c r="K408" s="77"/>
    </row>
    <row r="409" spans="1:11" ht="18">
      <c r="A409" s="237">
        <v>43393</v>
      </c>
      <c r="B409" s="238">
        <v>77.94</v>
      </c>
      <c r="C409" s="47">
        <f t="shared" si="15"/>
        <v>1.1026073420677074E-2</v>
      </c>
      <c r="G409" s="81">
        <v>43376</v>
      </c>
      <c r="H409" s="82">
        <v>247.15</v>
      </c>
      <c r="I409" s="166">
        <f t="shared" si="14"/>
        <v>2.0732664271259305E-2</v>
      </c>
      <c r="J409" s="77"/>
      <c r="K409" s="77"/>
    </row>
    <row r="410" spans="1:11" ht="18">
      <c r="A410" s="237">
        <v>43396</v>
      </c>
      <c r="B410" s="238">
        <v>77.89</v>
      </c>
      <c r="C410" s="47">
        <f t="shared" si="15"/>
        <v>-6.4151911726961774E-4</v>
      </c>
      <c r="G410" s="81">
        <v>43377</v>
      </c>
      <c r="H410" s="82">
        <v>249.7</v>
      </c>
      <c r="I410" s="166">
        <f t="shared" si="14"/>
        <v>1.0317620878009137E-2</v>
      </c>
      <c r="J410" s="77"/>
      <c r="K410" s="77"/>
    </row>
    <row r="411" spans="1:11" ht="18">
      <c r="A411" s="237">
        <v>43397</v>
      </c>
      <c r="B411" s="238">
        <v>79.239999999999995</v>
      </c>
      <c r="C411" s="47">
        <f t="shared" si="15"/>
        <v>1.7332135062267273E-2</v>
      </c>
      <c r="G411" s="81">
        <v>43378</v>
      </c>
      <c r="H411" s="82">
        <v>249.86</v>
      </c>
      <c r="I411" s="166">
        <f t="shared" si="14"/>
        <v>6.4076892270725772E-4</v>
      </c>
      <c r="J411" s="77"/>
      <c r="K411" s="77"/>
    </row>
    <row r="412" spans="1:11" ht="18">
      <c r="A412" s="237">
        <v>43398</v>
      </c>
      <c r="B412" s="238">
        <v>79.760000000000005</v>
      </c>
      <c r="C412" s="47">
        <f t="shared" si="15"/>
        <v>6.5623422513882979E-3</v>
      </c>
      <c r="G412" s="81">
        <v>43379</v>
      </c>
      <c r="H412" s="82">
        <v>246.52</v>
      </c>
      <c r="I412" s="166">
        <f t="shared" si="14"/>
        <v>-1.336748579204361E-2</v>
      </c>
      <c r="J412" s="77"/>
      <c r="K412" s="77"/>
    </row>
    <row r="413" spans="1:11" ht="18">
      <c r="A413" s="237">
        <v>43399</v>
      </c>
      <c r="B413" s="238">
        <v>79.94</v>
      </c>
      <c r="C413" s="47">
        <f t="shared" si="15"/>
        <v>2.256770310932632E-3</v>
      </c>
      <c r="G413" s="81">
        <v>43382</v>
      </c>
      <c r="H413" s="82">
        <v>242.76</v>
      </c>
      <c r="I413" s="166">
        <f t="shared" si="14"/>
        <v>-1.5252312185623951E-2</v>
      </c>
      <c r="J413" s="77"/>
      <c r="K413" s="77"/>
    </row>
    <row r="414" spans="1:11" ht="18">
      <c r="A414" s="237">
        <v>43400</v>
      </c>
      <c r="B414" s="238">
        <v>80.14</v>
      </c>
      <c r="C414" s="47">
        <f t="shared" si="15"/>
        <v>2.5018764073054811E-3</v>
      </c>
      <c r="G414" s="81">
        <v>43383</v>
      </c>
      <c r="H414" s="82">
        <v>238.05</v>
      </c>
      <c r="I414" s="166">
        <f t="shared" si="14"/>
        <v>-1.9401878398418115E-2</v>
      </c>
      <c r="J414" s="77"/>
      <c r="K414" s="77"/>
    </row>
    <row r="415" spans="1:11" ht="18">
      <c r="A415" s="237">
        <v>43403</v>
      </c>
      <c r="B415" s="238">
        <v>78.900000000000006</v>
      </c>
      <c r="C415" s="47">
        <f t="shared" si="15"/>
        <v>-1.5472922385824761E-2</v>
      </c>
      <c r="G415" s="81">
        <v>43384</v>
      </c>
      <c r="H415" s="82">
        <v>238.2</v>
      </c>
      <c r="I415" s="166">
        <f t="shared" si="14"/>
        <v>6.3011972274717998E-4</v>
      </c>
      <c r="J415" s="77"/>
      <c r="K415" s="77"/>
    </row>
    <row r="416" spans="1:11" ht="18">
      <c r="A416" s="237">
        <v>43404</v>
      </c>
      <c r="B416" s="238">
        <v>80.03</v>
      </c>
      <c r="C416" s="47">
        <f t="shared" si="15"/>
        <v>1.4321926489226922E-2</v>
      </c>
      <c r="G416" s="81">
        <v>43385</v>
      </c>
      <c r="H416" s="82">
        <v>235.74</v>
      </c>
      <c r="I416" s="166">
        <f t="shared" si="14"/>
        <v>-1.0327455919395434E-2</v>
      </c>
      <c r="J416" s="77"/>
      <c r="K416" s="77"/>
    </row>
    <row r="417" spans="1:11" ht="18">
      <c r="A417" s="237">
        <v>43405</v>
      </c>
      <c r="B417" s="238">
        <v>79.42</v>
      </c>
      <c r="C417" s="47">
        <f t="shared" si="15"/>
        <v>-7.6221416968637046E-3</v>
      </c>
      <c r="G417" s="81">
        <v>43386</v>
      </c>
      <c r="H417" s="82">
        <v>237.27</v>
      </c>
      <c r="I417" s="166">
        <f t="shared" si="14"/>
        <v>6.490201068974244E-3</v>
      </c>
      <c r="J417" s="77"/>
      <c r="K417" s="77"/>
    </row>
    <row r="418" spans="1:11" ht="18">
      <c r="A418" s="237">
        <v>43406</v>
      </c>
      <c r="B418" s="238">
        <v>79.14</v>
      </c>
      <c r="C418" s="47">
        <f t="shared" si="15"/>
        <v>-3.5255603122639201E-3</v>
      </c>
      <c r="G418" s="81">
        <v>43389</v>
      </c>
      <c r="H418" s="82">
        <v>238.83</v>
      </c>
      <c r="I418" s="166">
        <f t="shared" si="14"/>
        <v>6.574788215956584E-3</v>
      </c>
      <c r="J418" s="77"/>
      <c r="K418" s="77"/>
    </row>
    <row r="419" spans="1:11" ht="18">
      <c r="A419" s="237">
        <v>43407</v>
      </c>
      <c r="B419" s="238">
        <v>80.41</v>
      </c>
      <c r="C419" s="47">
        <f t="shared" si="15"/>
        <v>1.6047510740459847E-2</v>
      </c>
      <c r="G419" s="81">
        <v>43390</v>
      </c>
      <c r="H419" s="82">
        <v>241.48</v>
      </c>
      <c r="I419" s="166">
        <f t="shared" si="14"/>
        <v>1.1095758489301888E-2</v>
      </c>
      <c r="J419" s="77"/>
      <c r="K419" s="77"/>
    </row>
    <row r="420" spans="1:11" ht="18">
      <c r="A420" s="237">
        <v>43410</v>
      </c>
      <c r="B420" s="238">
        <v>80.38</v>
      </c>
      <c r="C420" s="47">
        <f t="shared" si="15"/>
        <v>-3.7308792438750515E-4</v>
      </c>
      <c r="G420" s="81">
        <v>43391</v>
      </c>
      <c r="H420" s="82">
        <v>237.94</v>
      </c>
      <c r="I420" s="166">
        <f t="shared" si="14"/>
        <v>-1.4659599138645008E-2</v>
      </c>
      <c r="J420" s="77"/>
      <c r="K420" s="77"/>
    </row>
    <row r="421" spans="1:11" ht="18">
      <c r="A421" s="237">
        <v>43411</v>
      </c>
      <c r="B421" s="238">
        <v>80.94</v>
      </c>
      <c r="C421" s="47">
        <f t="shared" si="15"/>
        <v>6.9669071908435853E-3</v>
      </c>
      <c r="G421" s="81">
        <v>43392</v>
      </c>
      <c r="H421" s="82">
        <v>238.47</v>
      </c>
      <c r="I421" s="166">
        <f t="shared" si="14"/>
        <v>2.2274522988989798E-3</v>
      </c>
      <c r="J421" s="77"/>
      <c r="K421" s="77"/>
    </row>
    <row r="422" spans="1:11" ht="18">
      <c r="A422" s="237">
        <v>43412</v>
      </c>
      <c r="B422" s="238">
        <v>79.849999999999994</v>
      </c>
      <c r="C422" s="47">
        <f t="shared" si="15"/>
        <v>-1.3466765505312672E-2</v>
      </c>
      <c r="G422" s="81">
        <v>43393</v>
      </c>
      <c r="H422" s="82">
        <v>238.58</v>
      </c>
      <c r="I422" s="166">
        <f t="shared" si="14"/>
        <v>4.6127395479511613E-4</v>
      </c>
      <c r="J422" s="77"/>
      <c r="K422" s="77"/>
    </row>
    <row r="423" spans="1:11" ht="18">
      <c r="A423" s="237">
        <v>43413</v>
      </c>
      <c r="B423" s="238">
        <v>83.52</v>
      </c>
      <c r="C423" s="47">
        <f t="shared" si="15"/>
        <v>4.596117720726367E-2</v>
      </c>
      <c r="G423" s="81">
        <v>43396</v>
      </c>
      <c r="H423" s="82">
        <v>232.55</v>
      </c>
      <c r="I423" s="166">
        <f t="shared" si="14"/>
        <v>-2.5274541034453812E-2</v>
      </c>
      <c r="J423" s="77"/>
      <c r="K423" s="77"/>
    </row>
    <row r="424" spans="1:11" ht="18">
      <c r="A424" s="237">
        <v>43414</v>
      </c>
      <c r="B424" s="238">
        <v>83.5</v>
      </c>
      <c r="C424" s="47">
        <f t="shared" si="15"/>
        <v>-2.394636015324858E-4</v>
      </c>
      <c r="G424" s="81">
        <v>43397</v>
      </c>
      <c r="H424" s="82">
        <v>232.64</v>
      </c>
      <c r="I424" s="166">
        <f t="shared" si="14"/>
        <v>3.8701354547399092E-4</v>
      </c>
      <c r="J424" s="77"/>
      <c r="K424" s="77"/>
    </row>
    <row r="425" spans="1:11" ht="18">
      <c r="A425" s="237">
        <v>43417</v>
      </c>
      <c r="B425" s="238">
        <v>82.79</v>
      </c>
      <c r="C425" s="47">
        <f t="shared" si="15"/>
        <v>-8.5029940119759617E-3</v>
      </c>
      <c r="G425" s="81">
        <v>43398</v>
      </c>
      <c r="H425" s="82">
        <v>235.08</v>
      </c>
      <c r="I425" s="166">
        <f t="shared" si="14"/>
        <v>1.0488308115543354E-2</v>
      </c>
      <c r="J425" s="77"/>
      <c r="K425" s="77"/>
    </row>
    <row r="426" spans="1:11" ht="18">
      <c r="A426" s="237">
        <v>43418</v>
      </c>
      <c r="B426" s="238">
        <v>84.35</v>
      </c>
      <c r="C426" s="47">
        <f t="shared" si="15"/>
        <v>1.8842855417320781E-2</v>
      </c>
      <c r="G426" s="81">
        <v>43399</v>
      </c>
      <c r="H426" s="82">
        <v>236.08</v>
      </c>
      <c r="I426" s="166">
        <f t="shared" si="14"/>
        <v>4.2538710226305287E-3</v>
      </c>
      <c r="J426" s="77"/>
      <c r="K426" s="77"/>
    </row>
    <row r="427" spans="1:11" ht="18">
      <c r="A427" s="237">
        <v>43419</v>
      </c>
      <c r="B427" s="238">
        <v>84.35</v>
      </c>
      <c r="C427" s="47">
        <f t="shared" si="15"/>
        <v>0</v>
      </c>
      <c r="G427" s="81">
        <v>43400</v>
      </c>
      <c r="H427" s="82">
        <v>232.7</v>
      </c>
      <c r="I427" s="166">
        <f t="shared" si="14"/>
        <v>-1.4317180616740144E-2</v>
      </c>
      <c r="J427" s="77"/>
      <c r="K427" s="77"/>
    </row>
    <row r="428" spans="1:11" ht="18">
      <c r="A428" s="237">
        <v>43420</v>
      </c>
      <c r="B428" s="238">
        <v>83.59</v>
      </c>
      <c r="C428" s="47">
        <f t="shared" si="15"/>
        <v>-9.010077059869448E-3</v>
      </c>
      <c r="G428" s="81">
        <v>43403</v>
      </c>
      <c r="H428" s="82">
        <v>233.14</v>
      </c>
      <c r="I428" s="166">
        <f t="shared" si="14"/>
        <v>1.8908465835840715E-3</v>
      </c>
      <c r="J428" s="77"/>
      <c r="K428" s="77"/>
    </row>
    <row r="429" spans="1:11" ht="18">
      <c r="A429" s="237">
        <v>43421</v>
      </c>
      <c r="B429" s="238">
        <v>83.59</v>
      </c>
      <c r="C429" s="47">
        <f t="shared" si="15"/>
        <v>0</v>
      </c>
      <c r="G429" s="81">
        <v>43404</v>
      </c>
      <c r="H429" s="82">
        <v>237.78</v>
      </c>
      <c r="I429" s="166">
        <f t="shared" si="14"/>
        <v>1.9902204683881042E-2</v>
      </c>
      <c r="J429" s="77"/>
      <c r="K429" s="77"/>
    </row>
    <row r="430" spans="1:11" ht="18">
      <c r="A430" s="237">
        <v>43424</v>
      </c>
      <c r="B430" s="238">
        <v>83.6</v>
      </c>
      <c r="C430" s="47">
        <f t="shared" si="15"/>
        <v>1.1963153487237754E-4</v>
      </c>
      <c r="G430" s="81">
        <v>43405</v>
      </c>
      <c r="H430" s="82">
        <v>239.09</v>
      </c>
      <c r="I430" s="166">
        <f t="shared" si="14"/>
        <v>5.5092943056607169E-3</v>
      </c>
      <c r="J430" s="77"/>
      <c r="K430" s="77"/>
    </row>
    <row r="431" spans="1:11" ht="18">
      <c r="A431" s="237">
        <v>43425</v>
      </c>
      <c r="B431" s="238">
        <v>84.47</v>
      </c>
      <c r="C431" s="47">
        <f t="shared" si="15"/>
        <v>1.040669856459342E-2</v>
      </c>
      <c r="G431" s="81">
        <v>43406</v>
      </c>
      <c r="H431" s="82">
        <v>237.17</v>
      </c>
      <c r="I431" s="166">
        <f t="shared" si="14"/>
        <v>-8.030448784976385E-3</v>
      </c>
      <c r="J431" s="77"/>
      <c r="K431" s="77"/>
    </row>
    <row r="432" spans="1:11" ht="18">
      <c r="A432" s="237">
        <v>43426</v>
      </c>
      <c r="B432" s="238">
        <v>85.02</v>
      </c>
      <c r="C432" s="47">
        <f t="shared" si="15"/>
        <v>6.5111874038119577E-3</v>
      </c>
      <c r="G432" s="81">
        <v>43407</v>
      </c>
      <c r="H432" s="82">
        <v>243.36</v>
      </c>
      <c r="I432" s="166">
        <f t="shared" si="14"/>
        <v>2.6099422355272628E-2</v>
      </c>
      <c r="J432" s="77"/>
      <c r="K432" s="77"/>
    </row>
    <row r="433" spans="1:11" ht="18">
      <c r="A433" s="237">
        <v>43428</v>
      </c>
      <c r="B433" s="238">
        <v>85.41</v>
      </c>
      <c r="C433" s="47">
        <f t="shared" si="15"/>
        <v>4.5871559633028358E-3</v>
      </c>
      <c r="G433" s="81">
        <v>43410</v>
      </c>
      <c r="H433" s="82">
        <v>245.9</v>
      </c>
      <c r="I433" s="166">
        <f t="shared" si="14"/>
        <v>1.0437212360289161E-2</v>
      </c>
      <c r="J433" s="77"/>
      <c r="K433" s="77"/>
    </row>
    <row r="434" spans="1:11" ht="18">
      <c r="A434" s="237">
        <v>43431</v>
      </c>
      <c r="B434" s="238">
        <v>85.07</v>
      </c>
      <c r="C434" s="47">
        <f t="shared" si="15"/>
        <v>-3.980798501346472E-3</v>
      </c>
      <c r="G434" s="81">
        <v>43411</v>
      </c>
      <c r="H434" s="82">
        <v>245.9</v>
      </c>
      <c r="I434" s="166">
        <f t="shared" si="14"/>
        <v>0</v>
      </c>
      <c r="J434" s="77"/>
      <c r="K434" s="77"/>
    </row>
    <row r="435" spans="1:11" ht="18">
      <c r="A435" s="237">
        <v>43432</v>
      </c>
      <c r="B435" s="238">
        <v>85.46</v>
      </c>
      <c r="C435" s="47">
        <f t="shared" si="15"/>
        <v>4.5844598565887296E-3</v>
      </c>
      <c r="G435" s="81">
        <v>43412</v>
      </c>
      <c r="H435" s="82">
        <v>244.96</v>
      </c>
      <c r="I435" s="166">
        <f t="shared" si="14"/>
        <v>-3.8226921512809486E-3</v>
      </c>
      <c r="J435" s="77"/>
      <c r="K435" s="77"/>
    </row>
    <row r="436" spans="1:11" ht="18">
      <c r="A436" s="237">
        <v>43433</v>
      </c>
      <c r="B436" s="238">
        <v>86.43</v>
      </c>
      <c r="C436" s="47">
        <f t="shared" si="15"/>
        <v>1.1350339340042259E-2</v>
      </c>
      <c r="G436" s="81">
        <v>43413</v>
      </c>
      <c r="H436" s="82">
        <v>243.72</v>
      </c>
      <c r="I436" s="166">
        <f t="shared" si="14"/>
        <v>-5.0620509470934438E-3</v>
      </c>
      <c r="J436" s="77"/>
      <c r="K436" s="77"/>
    </row>
    <row r="437" spans="1:11" ht="18">
      <c r="A437" s="237">
        <v>43434</v>
      </c>
      <c r="B437" s="238">
        <v>87.8</v>
      </c>
      <c r="C437" s="47">
        <f t="shared" si="15"/>
        <v>1.5850977669790378E-2</v>
      </c>
      <c r="G437" s="81">
        <v>43414</v>
      </c>
      <c r="H437" s="82">
        <v>252.99</v>
      </c>
      <c r="I437" s="166">
        <f t="shared" si="14"/>
        <v>3.8035450516986646E-2</v>
      </c>
      <c r="J437" s="77"/>
      <c r="K437" s="77"/>
    </row>
    <row r="438" spans="1:11" ht="18">
      <c r="A438" s="237">
        <v>43435</v>
      </c>
      <c r="B438" s="238">
        <v>87.43</v>
      </c>
      <c r="C438" s="47">
        <f t="shared" si="15"/>
        <v>-4.2141230068335478E-3</v>
      </c>
      <c r="G438" s="81">
        <v>43417</v>
      </c>
      <c r="H438" s="82">
        <v>254.5</v>
      </c>
      <c r="I438" s="166">
        <f t="shared" si="14"/>
        <v>5.9686153602909187E-3</v>
      </c>
      <c r="J438" s="77"/>
      <c r="K438" s="77"/>
    </row>
    <row r="439" spans="1:11" ht="18">
      <c r="A439" s="237">
        <v>43438</v>
      </c>
      <c r="B439" s="238">
        <v>86.09</v>
      </c>
      <c r="C439" s="47">
        <f t="shared" si="15"/>
        <v>-1.5326546951847209E-2</v>
      </c>
      <c r="G439" s="81">
        <v>43418</v>
      </c>
      <c r="H439" s="82">
        <v>259.58</v>
      </c>
      <c r="I439" s="166">
        <f t="shared" si="14"/>
        <v>1.996070726915522E-2</v>
      </c>
      <c r="J439" s="77"/>
      <c r="K439" s="77"/>
    </row>
    <row r="440" spans="1:11" ht="18">
      <c r="A440" s="237">
        <v>43439</v>
      </c>
      <c r="B440" s="238">
        <v>85.62</v>
      </c>
      <c r="C440" s="47">
        <f t="shared" si="15"/>
        <v>-5.4594029504007047E-3</v>
      </c>
      <c r="G440" s="81">
        <v>43419</v>
      </c>
      <c r="H440" s="82">
        <v>257.61</v>
      </c>
      <c r="I440" s="166">
        <f t="shared" si="14"/>
        <v>-7.5891825256182432E-3</v>
      </c>
      <c r="J440" s="77"/>
      <c r="K440" s="77"/>
    </row>
    <row r="441" spans="1:11" ht="18">
      <c r="A441" s="237">
        <v>43440</v>
      </c>
      <c r="B441" s="238">
        <v>86.86</v>
      </c>
      <c r="C441" s="47">
        <f t="shared" si="15"/>
        <v>1.4482597523942875E-2</v>
      </c>
      <c r="G441" s="81">
        <v>43420</v>
      </c>
      <c r="H441" s="82">
        <v>255.93</v>
      </c>
      <c r="I441" s="166">
        <f t="shared" si="14"/>
        <v>-6.5214859671597347E-3</v>
      </c>
      <c r="J441" s="77"/>
      <c r="K441" s="77"/>
    </row>
    <row r="442" spans="1:11" ht="18">
      <c r="A442" s="237">
        <v>43441</v>
      </c>
      <c r="B442" s="238">
        <v>86.7</v>
      </c>
      <c r="C442" s="47">
        <f t="shared" si="15"/>
        <v>-1.8420446695831538E-3</v>
      </c>
      <c r="G442" s="81">
        <v>43421</v>
      </c>
      <c r="H442" s="82">
        <v>255.38</v>
      </c>
      <c r="I442" s="166">
        <f t="shared" si="14"/>
        <v>-2.1490251240574576E-3</v>
      </c>
      <c r="J442" s="77"/>
      <c r="K442" s="77"/>
    </row>
    <row r="443" spans="1:11" ht="18">
      <c r="A443" s="237">
        <v>43442</v>
      </c>
      <c r="B443" s="238">
        <v>86.1</v>
      </c>
      <c r="C443" s="47">
        <f t="shared" si="15"/>
        <v>-6.9204152249136008E-3</v>
      </c>
      <c r="G443" s="81">
        <v>43424</v>
      </c>
      <c r="H443" s="82">
        <v>252.71</v>
      </c>
      <c r="I443" s="166">
        <f t="shared" si="14"/>
        <v>-1.045500822304013E-2</v>
      </c>
      <c r="J443" s="77"/>
      <c r="K443" s="77"/>
    </row>
    <row r="444" spans="1:11" ht="18">
      <c r="A444" s="237">
        <v>43445</v>
      </c>
      <c r="B444" s="238">
        <v>86.42</v>
      </c>
      <c r="C444" s="47">
        <f t="shared" si="15"/>
        <v>3.716608594657389E-3</v>
      </c>
      <c r="G444" s="81">
        <v>43425</v>
      </c>
      <c r="H444" s="82">
        <v>252.28</v>
      </c>
      <c r="I444" s="166">
        <f t="shared" si="14"/>
        <v>-1.7015551422580044E-3</v>
      </c>
      <c r="J444" s="77"/>
      <c r="K444" s="77"/>
    </row>
    <row r="445" spans="1:11" ht="18">
      <c r="A445" s="237">
        <v>43446</v>
      </c>
      <c r="B445" s="238">
        <v>87.25</v>
      </c>
      <c r="C445" s="47">
        <f t="shared" si="15"/>
        <v>9.6042582735478277E-3</v>
      </c>
      <c r="G445" s="81">
        <v>43426</v>
      </c>
      <c r="H445" s="82">
        <v>253.28</v>
      </c>
      <c r="I445" s="166">
        <f t="shared" si="14"/>
        <v>3.963849690819643E-3</v>
      </c>
      <c r="J445" s="77"/>
      <c r="K445" s="77"/>
    </row>
    <row r="446" spans="1:11" ht="18">
      <c r="A446" s="237">
        <v>43447</v>
      </c>
      <c r="B446" s="238">
        <v>87.12</v>
      </c>
      <c r="C446" s="47">
        <f t="shared" si="15"/>
        <v>-1.4899713467048104E-3</v>
      </c>
      <c r="G446" s="81">
        <v>43427</v>
      </c>
      <c r="H446" s="82">
        <v>256.19</v>
      </c>
      <c r="I446" s="166">
        <f t="shared" si="14"/>
        <v>1.1489260897030951E-2</v>
      </c>
      <c r="J446" s="77"/>
      <c r="K446" s="77"/>
    </row>
    <row r="447" spans="1:11" ht="18">
      <c r="A447" s="237">
        <v>43448</v>
      </c>
      <c r="B447" s="238">
        <v>86.32</v>
      </c>
      <c r="C447" s="47">
        <f t="shared" si="15"/>
        <v>-9.182736455463858E-3</v>
      </c>
      <c r="G447" s="81">
        <v>43428</v>
      </c>
      <c r="H447" s="82">
        <v>254.73</v>
      </c>
      <c r="I447" s="166">
        <f t="shared" si="14"/>
        <v>-5.6988953511066809E-3</v>
      </c>
      <c r="J447" s="77"/>
      <c r="K447" s="77"/>
    </row>
    <row r="448" spans="1:11" ht="18">
      <c r="A448" s="237">
        <v>43449</v>
      </c>
      <c r="B448" s="238">
        <v>85.87</v>
      </c>
      <c r="C448" s="47">
        <f t="shared" si="15"/>
        <v>-5.2131603336421639E-3</v>
      </c>
      <c r="G448" s="81">
        <v>43431</v>
      </c>
      <c r="H448" s="82">
        <v>253.35</v>
      </c>
      <c r="I448" s="166">
        <f t="shared" si="14"/>
        <v>-5.4175008832881844E-3</v>
      </c>
      <c r="J448" s="77"/>
      <c r="K448" s="77"/>
    </row>
    <row r="449" spans="1:11" ht="18">
      <c r="A449" s="237">
        <v>43452</v>
      </c>
      <c r="B449" s="238">
        <v>85.4</v>
      </c>
      <c r="C449" s="47">
        <f t="shared" si="15"/>
        <v>-5.473390008151835E-3</v>
      </c>
      <c r="G449" s="81">
        <v>43432</v>
      </c>
      <c r="H449" s="82">
        <v>258.19</v>
      </c>
      <c r="I449" s="166">
        <f t="shared" si="14"/>
        <v>1.9104006315374011E-2</v>
      </c>
      <c r="J449" s="77"/>
      <c r="K449" s="77"/>
    </row>
    <row r="450" spans="1:11" ht="18">
      <c r="A450" s="237">
        <v>43453</v>
      </c>
      <c r="B450" s="238">
        <v>84.97</v>
      </c>
      <c r="C450" s="47">
        <f t="shared" si="15"/>
        <v>-5.0351288056207366E-3</v>
      </c>
      <c r="G450" s="81">
        <v>43433</v>
      </c>
      <c r="H450" s="82">
        <v>263.56</v>
      </c>
      <c r="I450" s="166">
        <f t="shared" si="14"/>
        <v>2.0798636662922698E-2</v>
      </c>
      <c r="J450" s="77"/>
      <c r="K450" s="77"/>
    </row>
    <row r="451" spans="1:11" ht="18">
      <c r="A451" s="237">
        <v>43454</v>
      </c>
      <c r="B451" s="238">
        <v>86.08</v>
      </c>
      <c r="C451" s="47">
        <f t="shared" si="15"/>
        <v>1.3063434153230524E-2</v>
      </c>
      <c r="G451" s="81">
        <v>43434</v>
      </c>
      <c r="H451" s="82">
        <v>264.58</v>
      </c>
      <c r="I451" s="166">
        <f t="shared" si="14"/>
        <v>3.8700865078160618E-3</v>
      </c>
      <c r="J451" s="77"/>
      <c r="K451" s="77"/>
    </row>
    <row r="452" spans="1:11" ht="18">
      <c r="A452" s="237">
        <v>43455</v>
      </c>
      <c r="B452" s="238">
        <v>85.64</v>
      </c>
      <c r="C452" s="47">
        <f t="shared" si="15"/>
        <v>-5.1115241635687481E-3</v>
      </c>
      <c r="G452" s="81">
        <v>43435</v>
      </c>
      <c r="H452" s="82">
        <v>264.83999999999997</v>
      </c>
      <c r="I452" s="166">
        <f t="shared" si="14"/>
        <v>9.8268954569502576E-4</v>
      </c>
      <c r="J452" s="77"/>
      <c r="K452" s="77"/>
    </row>
    <row r="453" spans="1:11" ht="18">
      <c r="A453" s="237">
        <v>43456</v>
      </c>
      <c r="B453" s="238">
        <v>85.18</v>
      </c>
      <c r="C453" s="47">
        <f t="shared" si="15"/>
        <v>-5.3713218122372064E-3</v>
      </c>
      <c r="G453" s="81">
        <v>43438</v>
      </c>
      <c r="H453" s="82">
        <v>266.39</v>
      </c>
      <c r="I453" s="166">
        <f t="shared" si="14"/>
        <v>5.8525902431656451E-3</v>
      </c>
      <c r="J453" s="77"/>
      <c r="K453" s="77"/>
    </row>
    <row r="454" spans="1:11" ht="18">
      <c r="A454" s="237">
        <v>43460</v>
      </c>
      <c r="B454" s="238">
        <v>84.67</v>
      </c>
      <c r="C454" s="47">
        <f t="shared" si="15"/>
        <v>-5.9873209673633188E-3</v>
      </c>
      <c r="G454" s="81">
        <v>43439</v>
      </c>
      <c r="H454" s="82">
        <v>264.55</v>
      </c>
      <c r="I454" s="166">
        <f t="shared" si="14"/>
        <v>-6.9071661849167132E-3</v>
      </c>
      <c r="J454" s="77"/>
      <c r="K454" s="77"/>
    </row>
    <row r="455" spans="1:11" ht="18">
      <c r="A455" s="237">
        <v>43461</v>
      </c>
      <c r="B455" s="238">
        <v>84.36</v>
      </c>
      <c r="C455" s="47">
        <f t="shared" si="15"/>
        <v>-3.6612731782214025E-3</v>
      </c>
      <c r="G455" s="81">
        <v>43440</v>
      </c>
      <c r="H455" s="82">
        <v>261.37</v>
      </c>
      <c r="I455" s="166">
        <f t="shared" si="14"/>
        <v>-1.2020412020412041E-2</v>
      </c>
      <c r="J455" s="77"/>
      <c r="K455" s="77"/>
    </row>
    <row r="456" spans="1:11" ht="18">
      <c r="A456" s="237">
        <v>43462</v>
      </c>
      <c r="B456" s="238">
        <v>85.01</v>
      </c>
      <c r="C456" s="47">
        <f t="shared" si="15"/>
        <v>7.7050734945471877E-3</v>
      </c>
      <c r="G456" s="81">
        <v>43441</v>
      </c>
      <c r="H456" s="82">
        <v>264.12</v>
      </c>
      <c r="I456" s="166">
        <f t="shared" si="14"/>
        <v>1.0521482955197614E-2</v>
      </c>
      <c r="J456" s="77"/>
      <c r="K456" s="77"/>
    </row>
    <row r="457" spans="1:11" ht="18">
      <c r="A457" s="237">
        <v>43463</v>
      </c>
      <c r="B457" s="238">
        <v>84.59</v>
      </c>
      <c r="C457" s="47">
        <f t="shared" si="15"/>
        <v>-4.9405952240912931E-3</v>
      </c>
      <c r="G457" s="81">
        <v>43442</v>
      </c>
      <c r="H457" s="82">
        <v>265</v>
      </c>
      <c r="I457" s="166">
        <f t="shared" si="14"/>
        <v>3.3318188702105012E-3</v>
      </c>
      <c r="J457" s="77"/>
      <c r="K457" s="77"/>
    </row>
    <row r="458" spans="1:11" ht="18">
      <c r="A458" s="237">
        <v>43467</v>
      </c>
      <c r="B458" s="238">
        <v>84.96</v>
      </c>
      <c r="C458" s="47">
        <f t="shared" si="15"/>
        <v>4.3740394845726005E-3</v>
      </c>
      <c r="G458" s="81">
        <v>43445</v>
      </c>
      <c r="H458" s="82">
        <v>261.68</v>
      </c>
      <c r="I458" s="166">
        <f t="shared" si="14"/>
        <v>-1.2528301886792437E-2</v>
      </c>
      <c r="J458" s="77"/>
      <c r="K458" s="77"/>
    </row>
    <row r="459" spans="1:11" ht="18">
      <c r="A459" s="237">
        <v>43468</v>
      </c>
      <c r="B459" s="238">
        <v>86</v>
      </c>
      <c r="C459" s="47">
        <f t="shared" si="15"/>
        <v>1.2241054613935987E-2</v>
      </c>
      <c r="G459" s="81">
        <v>43446</v>
      </c>
      <c r="H459" s="82">
        <v>262.49</v>
      </c>
      <c r="I459" s="166">
        <f t="shared" si="14"/>
        <v>3.0953836747171781E-3</v>
      </c>
      <c r="J459" s="77"/>
      <c r="K459" s="77"/>
    </row>
    <row r="460" spans="1:11" ht="18">
      <c r="A460" s="237">
        <v>43469</v>
      </c>
      <c r="B460" s="238">
        <v>85.22</v>
      </c>
      <c r="C460" s="47">
        <f t="shared" si="15"/>
        <v>-9.069767441860499E-3</v>
      </c>
      <c r="G460" s="81">
        <v>43447</v>
      </c>
      <c r="H460" s="82">
        <v>264.10000000000002</v>
      </c>
      <c r="I460" s="166">
        <f t="shared" si="14"/>
        <v>6.1335669930282499E-3</v>
      </c>
      <c r="J460" s="77"/>
      <c r="K460" s="77"/>
    </row>
    <row r="461" spans="1:11" ht="18">
      <c r="A461" s="237">
        <v>43470</v>
      </c>
      <c r="B461" s="238">
        <v>86.73</v>
      </c>
      <c r="C461" s="47">
        <f t="shared" si="15"/>
        <v>1.7718845341469169E-2</v>
      </c>
      <c r="G461" s="81">
        <v>43448</v>
      </c>
      <c r="H461" s="82">
        <v>260.86</v>
      </c>
      <c r="I461" s="166">
        <f t="shared" si="14"/>
        <v>-1.2268080272624049E-2</v>
      </c>
      <c r="J461" s="77"/>
      <c r="K461" s="77"/>
    </row>
    <row r="462" spans="1:11" ht="18">
      <c r="A462" s="237">
        <v>43473</v>
      </c>
      <c r="B462" s="238">
        <v>86.56</v>
      </c>
      <c r="C462" s="47">
        <f t="shared" si="15"/>
        <v>-1.9601060763289047E-3</v>
      </c>
      <c r="G462" s="81">
        <v>43449</v>
      </c>
      <c r="H462" s="82">
        <v>259.95</v>
      </c>
      <c r="I462" s="166">
        <f t="shared" si="14"/>
        <v>-3.4884612435790441E-3</v>
      </c>
      <c r="J462" s="77"/>
      <c r="K462" s="77"/>
    </row>
    <row r="463" spans="1:11" ht="18">
      <c r="A463" s="237">
        <v>43474</v>
      </c>
      <c r="B463" s="238">
        <v>86.02</v>
      </c>
      <c r="C463" s="47">
        <f t="shared" si="15"/>
        <v>-6.2384473197782953E-3</v>
      </c>
      <c r="G463" s="81">
        <v>43452</v>
      </c>
      <c r="H463" s="82">
        <v>259.83</v>
      </c>
      <c r="I463" s="166">
        <f t="shared" ref="I463:I526" si="16">H463/H462-1</f>
        <v>-4.6162723600695621E-4</v>
      </c>
      <c r="J463" s="77"/>
      <c r="K463" s="77"/>
    </row>
    <row r="464" spans="1:11" ht="18">
      <c r="A464" s="237">
        <v>43475</v>
      </c>
      <c r="B464" s="238">
        <v>87</v>
      </c>
      <c r="C464" s="47">
        <f t="shared" si="15"/>
        <v>1.1392699372239079E-2</v>
      </c>
      <c r="G464" s="81">
        <v>43453</v>
      </c>
      <c r="H464" s="82">
        <v>258.14999999999998</v>
      </c>
      <c r="I464" s="166">
        <f t="shared" si="16"/>
        <v>-6.4657660778201231E-3</v>
      </c>
      <c r="J464" s="77"/>
      <c r="K464" s="77"/>
    </row>
    <row r="465" spans="1:11" ht="18">
      <c r="A465" s="237">
        <v>43476</v>
      </c>
      <c r="B465" s="238">
        <v>88.03</v>
      </c>
      <c r="C465" s="47">
        <f t="shared" si="15"/>
        <v>1.1839080459770113E-2</v>
      </c>
      <c r="G465" s="81">
        <v>43454</v>
      </c>
      <c r="H465" s="82">
        <v>258.75</v>
      </c>
      <c r="I465" s="166">
        <f t="shared" si="16"/>
        <v>2.3242300987798004E-3</v>
      </c>
      <c r="J465" s="77"/>
      <c r="K465" s="77"/>
    </row>
    <row r="466" spans="1:11" ht="18">
      <c r="A466" s="237">
        <v>43477</v>
      </c>
      <c r="B466" s="238">
        <v>87.82</v>
      </c>
      <c r="C466" s="47">
        <f t="shared" si="15"/>
        <v>-2.3855503805522149E-3</v>
      </c>
      <c r="G466" s="81">
        <v>43455</v>
      </c>
      <c r="H466" s="82">
        <v>260.16000000000003</v>
      </c>
      <c r="I466" s="166">
        <f t="shared" si="16"/>
        <v>5.4492753623189838E-3</v>
      </c>
      <c r="J466" s="77"/>
      <c r="K466" s="77"/>
    </row>
    <row r="467" spans="1:11" ht="18">
      <c r="A467" s="237">
        <v>43481</v>
      </c>
      <c r="B467" s="238">
        <v>87.91</v>
      </c>
      <c r="C467" s="47">
        <f t="shared" si="15"/>
        <v>1.024823502619121E-3</v>
      </c>
      <c r="G467" s="81">
        <v>43456</v>
      </c>
      <c r="H467" s="82">
        <v>258.07</v>
      </c>
      <c r="I467" s="166">
        <f t="shared" si="16"/>
        <v>-8.033517835178472E-3</v>
      </c>
      <c r="J467" s="77"/>
      <c r="K467" s="77"/>
    </row>
    <row r="468" spans="1:11" ht="18">
      <c r="A468" s="237">
        <v>43482</v>
      </c>
      <c r="B468" s="238">
        <v>88.95</v>
      </c>
      <c r="C468" s="47">
        <f t="shared" si="15"/>
        <v>1.1830280969173046E-2</v>
      </c>
      <c r="G468" s="81">
        <v>43459</v>
      </c>
      <c r="H468" s="82">
        <v>258.76</v>
      </c>
      <c r="I468" s="166">
        <f t="shared" si="16"/>
        <v>2.6736931840198874E-3</v>
      </c>
      <c r="J468" s="77"/>
      <c r="K468" s="77"/>
    </row>
    <row r="469" spans="1:11" ht="18">
      <c r="A469" s="237">
        <v>43483</v>
      </c>
      <c r="B469" s="238">
        <v>88.7</v>
      </c>
      <c r="C469" s="47">
        <f t="shared" si="15"/>
        <v>-2.8105677346823565E-3</v>
      </c>
      <c r="G469" s="81">
        <v>43460</v>
      </c>
      <c r="H469" s="82">
        <v>259.57</v>
      </c>
      <c r="I469" s="166">
        <f t="shared" si="16"/>
        <v>3.1303138042975132E-3</v>
      </c>
      <c r="J469" s="77"/>
      <c r="K469" s="77"/>
    </row>
    <row r="470" spans="1:11" ht="18">
      <c r="A470" s="237">
        <v>43484</v>
      </c>
      <c r="B470" s="238">
        <v>88.5</v>
      </c>
      <c r="C470" s="47">
        <f t="shared" si="15"/>
        <v>-2.2547914317926354E-3</v>
      </c>
      <c r="G470" s="81">
        <v>43461</v>
      </c>
      <c r="H470" s="82">
        <v>259.97000000000003</v>
      </c>
      <c r="I470" s="166">
        <f t="shared" si="16"/>
        <v>1.5410101321418068E-3</v>
      </c>
      <c r="J470" s="77"/>
      <c r="K470" s="77"/>
    </row>
    <row r="471" spans="1:11" ht="18">
      <c r="A471" s="237">
        <v>43487</v>
      </c>
      <c r="B471" s="238">
        <v>88.45</v>
      </c>
      <c r="C471" s="47">
        <f t="shared" ref="C471:C534" si="17">B471/B470-1</f>
        <v>-5.6497175141234646E-4</v>
      </c>
      <c r="G471" s="81">
        <v>43462</v>
      </c>
      <c r="H471" s="82">
        <v>260.64</v>
      </c>
      <c r="I471" s="166">
        <f t="shared" si="16"/>
        <v>2.5772204485130512E-3</v>
      </c>
      <c r="J471" s="77"/>
      <c r="K471" s="77"/>
    </row>
    <row r="472" spans="1:11" ht="18">
      <c r="A472" s="237">
        <v>43488</v>
      </c>
      <c r="B472" s="238">
        <v>88.84</v>
      </c>
      <c r="C472" s="47">
        <f t="shared" si="17"/>
        <v>4.409270774448748E-3</v>
      </c>
      <c r="G472" s="81">
        <v>43463</v>
      </c>
      <c r="H472" s="82">
        <v>260.42</v>
      </c>
      <c r="I472" s="166">
        <f t="shared" si="16"/>
        <v>-8.4407612031911494E-4</v>
      </c>
      <c r="J472" s="77"/>
      <c r="K472" s="77"/>
    </row>
    <row r="473" spans="1:11" ht="18">
      <c r="A473" s="237">
        <v>43489</v>
      </c>
      <c r="B473" s="238">
        <v>88.78</v>
      </c>
      <c r="C473" s="47">
        <f t="shared" si="17"/>
        <v>-6.7537145429985568E-4</v>
      </c>
      <c r="G473" s="81">
        <v>43466</v>
      </c>
      <c r="H473" s="82">
        <v>260.49</v>
      </c>
      <c r="I473" s="166">
        <f t="shared" si="16"/>
        <v>2.6879655940392766E-4</v>
      </c>
      <c r="J473" s="77"/>
      <c r="K473" s="77"/>
    </row>
    <row r="474" spans="1:11" ht="18">
      <c r="A474" s="237">
        <v>43490</v>
      </c>
      <c r="B474" s="238">
        <v>88.78</v>
      </c>
      <c r="C474" s="47">
        <f t="shared" si="17"/>
        <v>0</v>
      </c>
      <c r="G474" s="81">
        <v>43467</v>
      </c>
      <c r="H474" s="82">
        <v>262.48</v>
      </c>
      <c r="I474" s="166">
        <f t="shared" si="16"/>
        <v>7.6394487312372306E-3</v>
      </c>
      <c r="J474" s="77"/>
      <c r="K474" s="77"/>
    </row>
    <row r="475" spans="1:11" ht="18">
      <c r="A475" s="237">
        <v>43491</v>
      </c>
      <c r="B475" s="238">
        <v>88.61</v>
      </c>
      <c r="C475" s="47">
        <f t="shared" si="17"/>
        <v>-1.9148456859653384E-3</v>
      </c>
      <c r="G475" s="81">
        <v>43468</v>
      </c>
      <c r="H475" s="82">
        <v>265.35000000000002</v>
      </c>
      <c r="I475" s="166">
        <f t="shared" si="16"/>
        <v>1.0934166412678969E-2</v>
      </c>
      <c r="J475" s="77"/>
      <c r="K475" s="77"/>
    </row>
    <row r="476" spans="1:11" ht="18">
      <c r="A476" s="237">
        <v>43494</v>
      </c>
      <c r="B476" s="238">
        <v>87.48</v>
      </c>
      <c r="C476" s="47">
        <f t="shared" si="17"/>
        <v>-1.2752511003272682E-2</v>
      </c>
      <c r="G476" s="81">
        <v>43469</v>
      </c>
      <c r="H476" s="82">
        <v>267.16000000000003</v>
      </c>
      <c r="I476" s="166">
        <f t="shared" si="16"/>
        <v>6.8211795741472958E-3</v>
      </c>
      <c r="J476" s="77"/>
      <c r="K476" s="77"/>
    </row>
    <row r="477" spans="1:11" ht="18">
      <c r="A477" s="237">
        <v>43495</v>
      </c>
      <c r="B477" s="238">
        <v>87.91</v>
      </c>
      <c r="C477" s="47">
        <f t="shared" si="17"/>
        <v>4.9154092363967727E-3</v>
      </c>
      <c r="G477" s="81">
        <v>43470</v>
      </c>
      <c r="H477" s="82">
        <v>268.10000000000002</v>
      </c>
      <c r="I477" s="166">
        <f t="shared" si="16"/>
        <v>3.5184907920347008E-3</v>
      </c>
      <c r="J477" s="77"/>
      <c r="K477" s="77"/>
    </row>
    <row r="478" spans="1:11" ht="18">
      <c r="A478" s="237">
        <v>43496</v>
      </c>
      <c r="B478" s="238">
        <v>89.26</v>
      </c>
      <c r="C478" s="47">
        <f t="shared" si="17"/>
        <v>1.5356614719599593E-2</v>
      </c>
      <c r="G478" s="81">
        <v>43473</v>
      </c>
      <c r="H478" s="82">
        <v>272.95999999999998</v>
      </c>
      <c r="I478" s="166">
        <f t="shared" si="16"/>
        <v>1.8127564341663405E-2</v>
      </c>
      <c r="J478" s="77"/>
      <c r="K478" s="77"/>
    </row>
    <row r="479" spans="1:11" ht="18">
      <c r="A479" s="237">
        <v>43497</v>
      </c>
      <c r="B479" s="238">
        <v>89.55</v>
      </c>
      <c r="C479" s="47">
        <f t="shared" si="17"/>
        <v>3.2489356934797264E-3</v>
      </c>
      <c r="G479" s="81">
        <v>43474</v>
      </c>
      <c r="H479" s="82">
        <v>273.58</v>
      </c>
      <c r="I479" s="166">
        <f t="shared" si="16"/>
        <v>2.2713950762016655E-3</v>
      </c>
      <c r="J479" s="77"/>
      <c r="K479" s="77"/>
    </row>
    <row r="480" spans="1:11" ht="18">
      <c r="A480" s="237">
        <v>43498</v>
      </c>
      <c r="B480" s="238">
        <v>88.32</v>
      </c>
      <c r="C480" s="47">
        <f t="shared" si="17"/>
        <v>-1.3735343383584619E-2</v>
      </c>
      <c r="G480" s="81">
        <v>43475</v>
      </c>
      <c r="H480" s="82">
        <v>274.13</v>
      </c>
      <c r="I480" s="166">
        <f t="shared" si="16"/>
        <v>2.0103808757949704E-3</v>
      </c>
      <c r="J480" s="77"/>
      <c r="K480" s="77"/>
    </row>
    <row r="481" spans="1:11" ht="18">
      <c r="A481" s="237">
        <v>43501</v>
      </c>
      <c r="B481" s="238">
        <v>87.07</v>
      </c>
      <c r="C481" s="47">
        <f t="shared" si="17"/>
        <v>-1.41530797101449E-2</v>
      </c>
      <c r="G481" s="81">
        <v>43476</v>
      </c>
      <c r="H481" s="82">
        <v>274.58999999999997</v>
      </c>
      <c r="I481" s="166">
        <f t="shared" si="16"/>
        <v>1.6780359683361556E-3</v>
      </c>
      <c r="J481" s="77"/>
      <c r="K481" s="77"/>
    </row>
    <row r="482" spans="1:11" ht="18">
      <c r="A482" s="237">
        <v>43502</v>
      </c>
      <c r="B482" s="238">
        <v>87.15</v>
      </c>
      <c r="C482" s="47">
        <f t="shared" si="17"/>
        <v>9.1880096474117323E-4</v>
      </c>
      <c r="G482" s="81">
        <v>43477</v>
      </c>
      <c r="H482" s="82">
        <v>277.44</v>
      </c>
      <c r="I482" s="166">
        <f t="shared" si="16"/>
        <v>1.0379110674096026E-2</v>
      </c>
      <c r="J482" s="77"/>
      <c r="K482" s="77"/>
    </row>
    <row r="483" spans="1:11" ht="18">
      <c r="A483" s="237">
        <v>43503</v>
      </c>
      <c r="B483" s="238">
        <v>87.1</v>
      </c>
      <c r="C483" s="47">
        <f t="shared" si="17"/>
        <v>-5.7372346528983265E-4</v>
      </c>
      <c r="G483" s="81">
        <v>43480</v>
      </c>
      <c r="H483" s="82">
        <v>277.58999999999997</v>
      </c>
      <c r="I483" s="166">
        <f t="shared" si="16"/>
        <v>5.4065743944620159E-4</v>
      </c>
      <c r="J483" s="77"/>
      <c r="K483" s="77"/>
    </row>
    <row r="484" spans="1:11" ht="18">
      <c r="A484" s="237">
        <v>43504</v>
      </c>
      <c r="B484" s="238">
        <v>86.53</v>
      </c>
      <c r="C484" s="47">
        <f t="shared" si="17"/>
        <v>-6.5442020665900102E-3</v>
      </c>
      <c r="G484" s="81">
        <v>43481</v>
      </c>
      <c r="H484" s="82">
        <v>276.54000000000002</v>
      </c>
      <c r="I484" s="166">
        <f t="shared" si="16"/>
        <v>-3.7825570085375793E-3</v>
      </c>
      <c r="J484" s="77"/>
      <c r="K484" s="77"/>
    </row>
    <row r="485" spans="1:11" ht="18">
      <c r="A485" s="237">
        <v>43505</v>
      </c>
      <c r="B485" s="238">
        <v>85.86</v>
      </c>
      <c r="C485" s="47">
        <f t="shared" si="17"/>
        <v>-7.7429793135328495E-3</v>
      </c>
      <c r="G485" s="81">
        <v>43482</v>
      </c>
      <c r="H485" s="82">
        <v>277.35000000000002</v>
      </c>
      <c r="I485" s="166">
        <f t="shared" si="16"/>
        <v>2.9290518550662004E-3</v>
      </c>
      <c r="J485" s="77"/>
      <c r="K485" s="77"/>
    </row>
    <row r="486" spans="1:11" ht="18">
      <c r="A486" s="237">
        <v>43508</v>
      </c>
      <c r="B486" s="238">
        <v>86.1</v>
      </c>
      <c r="C486" s="47">
        <f t="shared" si="17"/>
        <v>2.7952480782669209E-3</v>
      </c>
      <c r="G486" s="81">
        <v>43483</v>
      </c>
      <c r="H486" s="82">
        <v>277.02999999999997</v>
      </c>
      <c r="I486" s="166">
        <f t="shared" si="16"/>
        <v>-1.1537768162972473E-3</v>
      </c>
      <c r="J486" s="77"/>
      <c r="K486" s="77"/>
    </row>
    <row r="487" spans="1:11" ht="18">
      <c r="A487" s="237">
        <v>43509</v>
      </c>
      <c r="B487" s="238">
        <v>86.15</v>
      </c>
      <c r="C487" s="47">
        <f t="shared" si="17"/>
        <v>5.8072009291532112E-4</v>
      </c>
      <c r="G487" s="81">
        <v>43484</v>
      </c>
      <c r="H487" s="82">
        <v>279.04000000000002</v>
      </c>
      <c r="I487" s="166">
        <f t="shared" si="16"/>
        <v>7.2555318918530176E-3</v>
      </c>
      <c r="J487" s="77"/>
      <c r="K487" s="77"/>
    </row>
    <row r="488" spans="1:11" ht="18">
      <c r="A488" s="237">
        <v>43510</v>
      </c>
      <c r="B488" s="238">
        <v>85.9</v>
      </c>
      <c r="C488" s="47">
        <f t="shared" si="17"/>
        <v>-2.9019152640742396E-3</v>
      </c>
      <c r="G488" s="81">
        <v>43487</v>
      </c>
      <c r="H488" s="82">
        <v>279.8</v>
      </c>
      <c r="I488" s="166">
        <f t="shared" si="16"/>
        <v>2.7236238532108992E-3</v>
      </c>
      <c r="J488" s="77"/>
      <c r="K488" s="77"/>
    </row>
    <row r="489" spans="1:11" ht="18">
      <c r="A489" s="237">
        <v>43511</v>
      </c>
      <c r="B489" s="238">
        <v>85.34</v>
      </c>
      <c r="C489" s="47">
        <f t="shared" si="17"/>
        <v>-6.519208381839392E-3</v>
      </c>
      <c r="G489" s="81">
        <v>43488</v>
      </c>
      <c r="H489" s="82">
        <v>279.85000000000002</v>
      </c>
      <c r="I489" s="166">
        <f t="shared" si="16"/>
        <v>1.7869907076484282E-4</v>
      </c>
      <c r="J489" s="77"/>
      <c r="K489" s="77"/>
    </row>
    <row r="490" spans="1:11" ht="18">
      <c r="A490" s="237">
        <v>43512</v>
      </c>
      <c r="B490" s="238">
        <v>85.37</v>
      </c>
      <c r="C490" s="47">
        <f t="shared" si="17"/>
        <v>3.5153503632523453E-4</v>
      </c>
      <c r="G490" s="81">
        <v>43489</v>
      </c>
      <c r="H490" s="82">
        <v>279.63</v>
      </c>
      <c r="I490" s="166">
        <f t="shared" si="16"/>
        <v>-7.8613542969452332E-4</v>
      </c>
      <c r="J490" s="77"/>
      <c r="K490" s="77"/>
    </row>
    <row r="491" spans="1:11" ht="18">
      <c r="A491" s="237">
        <v>43516</v>
      </c>
      <c r="B491" s="238">
        <v>84.08</v>
      </c>
      <c r="C491" s="47">
        <f t="shared" si="17"/>
        <v>-1.5110694623404086E-2</v>
      </c>
      <c r="G491" s="81">
        <v>43490</v>
      </c>
      <c r="H491" s="82">
        <v>281.95999999999998</v>
      </c>
      <c r="I491" s="166">
        <f t="shared" si="16"/>
        <v>8.3324392947823345E-3</v>
      </c>
      <c r="J491" s="77"/>
      <c r="K491" s="77"/>
    </row>
    <row r="492" spans="1:11" ht="18">
      <c r="A492" s="237">
        <v>43517</v>
      </c>
      <c r="B492" s="238">
        <v>84.41</v>
      </c>
      <c r="C492" s="47">
        <f t="shared" si="17"/>
        <v>3.9248334919124162E-3</v>
      </c>
      <c r="G492" s="81">
        <v>43491</v>
      </c>
      <c r="H492" s="82">
        <v>280.89</v>
      </c>
      <c r="I492" s="166">
        <f t="shared" si="16"/>
        <v>-3.7948645197900532E-3</v>
      </c>
      <c r="J492" s="77"/>
      <c r="K492" s="77"/>
    </row>
    <row r="493" spans="1:11" ht="18">
      <c r="A493" s="237">
        <v>43518</v>
      </c>
      <c r="B493" s="238">
        <v>85.76</v>
      </c>
      <c r="C493" s="47">
        <f t="shared" si="17"/>
        <v>1.5993365714962682E-2</v>
      </c>
      <c r="G493" s="81">
        <v>43494</v>
      </c>
      <c r="H493" s="82">
        <v>279.37</v>
      </c>
      <c r="I493" s="166">
        <f t="shared" si="16"/>
        <v>-5.4113709993235393E-3</v>
      </c>
      <c r="J493" s="77"/>
      <c r="K493" s="77"/>
    </row>
    <row r="494" spans="1:11" ht="18">
      <c r="A494" s="237">
        <v>43519</v>
      </c>
      <c r="B494" s="238">
        <v>85.17</v>
      </c>
      <c r="C494" s="47">
        <f t="shared" si="17"/>
        <v>-6.8796641791045721E-3</v>
      </c>
      <c r="G494" s="81">
        <v>43495</v>
      </c>
      <c r="H494" s="82">
        <v>277.64999999999998</v>
      </c>
      <c r="I494" s="166">
        <f t="shared" si="16"/>
        <v>-6.1567097397717818E-3</v>
      </c>
      <c r="J494" s="77"/>
      <c r="K494" s="77"/>
    </row>
    <row r="495" spans="1:11" ht="18">
      <c r="A495" s="237">
        <v>43522</v>
      </c>
      <c r="B495" s="238">
        <v>85.6</v>
      </c>
      <c r="C495" s="47">
        <f t="shared" si="17"/>
        <v>5.0487260772571485E-3</v>
      </c>
      <c r="G495" s="81">
        <v>43496</v>
      </c>
      <c r="H495" s="82">
        <v>280.16000000000003</v>
      </c>
      <c r="I495" s="166">
        <f t="shared" si="16"/>
        <v>9.0401584728976303E-3</v>
      </c>
      <c r="J495" s="77"/>
      <c r="K495" s="77"/>
    </row>
    <row r="496" spans="1:11" ht="18">
      <c r="A496" s="237">
        <v>43523</v>
      </c>
      <c r="B496" s="238">
        <v>85.24</v>
      </c>
      <c r="C496" s="47">
        <f t="shared" si="17"/>
        <v>-4.2056074766354534E-3</v>
      </c>
      <c r="G496" s="81">
        <v>43497</v>
      </c>
      <c r="H496" s="82">
        <v>280.39</v>
      </c>
      <c r="I496" s="166">
        <f t="shared" si="16"/>
        <v>8.2095945174165408E-4</v>
      </c>
      <c r="J496" s="77"/>
      <c r="K496" s="77"/>
    </row>
    <row r="497" spans="1:11" ht="18">
      <c r="A497" s="237">
        <v>43524</v>
      </c>
      <c r="B497" s="238">
        <v>84.3</v>
      </c>
      <c r="C497" s="47">
        <f t="shared" si="17"/>
        <v>-1.1027686532144476E-2</v>
      </c>
      <c r="G497" s="81">
        <v>43498</v>
      </c>
      <c r="H497" s="82">
        <v>278.47000000000003</v>
      </c>
      <c r="I497" s="166">
        <f t="shared" si="16"/>
        <v>-6.8476051214378941E-3</v>
      </c>
      <c r="J497" s="77"/>
      <c r="K497" s="77"/>
    </row>
    <row r="498" spans="1:11" ht="18">
      <c r="A498" s="237">
        <v>43525</v>
      </c>
      <c r="B498" s="238">
        <v>83.99</v>
      </c>
      <c r="C498" s="47">
        <f t="shared" si="17"/>
        <v>-3.6773428232502736E-3</v>
      </c>
      <c r="G498" s="81">
        <v>43501</v>
      </c>
      <c r="H498" s="82">
        <v>273.5</v>
      </c>
      <c r="I498" s="166">
        <f t="shared" si="16"/>
        <v>-1.7847523970266232E-2</v>
      </c>
      <c r="J498" s="77"/>
      <c r="K498" s="77"/>
    </row>
    <row r="499" spans="1:11" ht="18">
      <c r="A499" s="237">
        <v>43526</v>
      </c>
      <c r="B499" s="238">
        <v>85.28</v>
      </c>
      <c r="C499" s="47">
        <f t="shared" si="17"/>
        <v>1.5358971306107971E-2</v>
      </c>
      <c r="G499" s="81">
        <v>43502</v>
      </c>
      <c r="H499" s="82">
        <v>273.51</v>
      </c>
      <c r="I499" s="166">
        <f t="shared" si="16"/>
        <v>3.6563071297956995E-5</v>
      </c>
      <c r="J499" s="77"/>
      <c r="K499" s="77"/>
    </row>
    <row r="500" spans="1:11" ht="18">
      <c r="A500" s="237">
        <v>43529</v>
      </c>
      <c r="B500" s="238">
        <v>84.94</v>
      </c>
      <c r="C500" s="47">
        <f t="shared" si="17"/>
        <v>-3.9868667917448697E-3</v>
      </c>
      <c r="G500" s="81">
        <v>43503</v>
      </c>
      <c r="H500" s="82">
        <v>274.32</v>
      </c>
      <c r="I500" s="166">
        <f t="shared" si="16"/>
        <v>2.9615004935834577E-3</v>
      </c>
      <c r="J500" s="77"/>
      <c r="K500" s="77"/>
    </row>
    <row r="501" spans="1:11" ht="18">
      <c r="A501" s="237">
        <v>43530</v>
      </c>
      <c r="B501" s="238">
        <v>84.59</v>
      </c>
      <c r="C501" s="47">
        <f t="shared" si="17"/>
        <v>-4.1205556863668225E-3</v>
      </c>
      <c r="G501" s="81">
        <v>43504</v>
      </c>
      <c r="H501" s="82">
        <v>275.18</v>
      </c>
      <c r="I501" s="166">
        <f t="shared" si="16"/>
        <v>3.135024788568197E-3</v>
      </c>
      <c r="J501" s="77"/>
      <c r="K501" s="77"/>
    </row>
    <row r="502" spans="1:11" ht="18">
      <c r="A502" s="237">
        <v>43531</v>
      </c>
      <c r="B502" s="238">
        <v>84.19</v>
      </c>
      <c r="C502" s="47">
        <f t="shared" si="17"/>
        <v>-4.7286913346732407E-3</v>
      </c>
      <c r="G502" s="81">
        <v>43505</v>
      </c>
      <c r="H502" s="82">
        <v>272.36</v>
      </c>
      <c r="I502" s="166">
        <f t="shared" si="16"/>
        <v>-1.0247837778908364E-2</v>
      </c>
      <c r="J502" s="77"/>
      <c r="K502" s="77"/>
    </row>
    <row r="503" spans="1:11" ht="18">
      <c r="A503" s="237">
        <v>43532</v>
      </c>
      <c r="B503" s="238">
        <v>84.21</v>
      </c>
      <c r="C503" s="47">
        <f t="shared" si="17"/>
        <v>2.3755790473933835E-4</v>
      </c>
      <c r="G503" s="81">
        <v>43508</v>
      </c>
      <c r="H503" s="82">
        <v>273.02</v>
      </c>
      <c r="I503" s="166">
        <f t="shared" si="16"/>
        <v>2.4232633279481774E-3</v>
      </c>
      <c r="J503" s="77"/>
      <c r="K503" s="77"/>
    </row>
    <row r="504" spans="1:11" ht="18">
      <c r="A504" s="237">
        <v>43533</v>
      </c>
      <c r="B504" s="238">
        <v>85</v>
      </c>
      <c r="C504" s="47">
        <f t="shared" si="17"/>
        <v>9.3813086331790974E-3</v>
      </c>
      <c r="G504" s="81">
        <v>43509</v>
      </c>
      <c r="H504" s="82">
        <v>273</v>
      </c>
      <c r="I504" s="166">
        <f t="shared" si="16"/>
        <v>-7.3254706614789278E-5</v>
      </c>
      <c r="J504" s="77"/>
      <c r="K504" s="77"/>
    </row>
    <row r="505" spans="1:11" ht="18">
      <c r="A505" s="237">
        <v>43536</v>
      </c>
      <c r="B505" s="238">
        <v>84.86</v>
      </c>
      <c r="C505" s="47">
        <f t="shared" si="17"/>
        <v>-1.6470588235294459E-3</v>
      </c>
      <c r="G505" s="81">
        <v>43510</v>
      </c>
      <c r="H505" s="82">
        <v>271.49</v>
      </c>
      <c r="I505" s="166">
        <f t="shared" si="16"/>
        <v>-5.5311355311354893E-3</v>
      </c>
      <c r="J505" s="77"/>
      <c r="K505" s="77"/>
    </row>
    <row r="506" spans="1:11" ht="18">
      <c r="A506" s="237">
        <v>43537</v>
      </c>
      <c r="B506" s="238">
        <v>84.63</v>
      </c>
      <c r="C506" s="47">
        <f t="shared" si="17"/>
        <v>-2.7103464529814048E-3</v>
      </c>
      <c r="G506" s="81">
        <v>43511</v>
      </c>
      <c r="H506" s="82">
        <v>272.37</v>
      </c>
      <c r="I506" s="166">
        <f t="shared" si="16"/>
        <v>3.2413716895649536E-3</v>
      </c>
      <c r="J506" s="77"/>
      <c r="K506" s="77"/>
    </row>
    <row r="507" spans="1:11" ht="18">
      <c r="A507" s="237">
        <v>43538</v>
      </c>
      <c r="B507" s="238">
        <v>84.94</v>
      </c>
      <c r="C507" s="47">
        <f t="shared" si="17"/>
        <v>3.66300366300365E-3</v>
      </c>
      <c r="G507" s="81">
        <v>43512</v>
      </c>
      <c r="H507" s="82">
        <v>269.87</v>
      </c>
      <c r="I507" s="166">
        <f t="shared" si="16"/>
        <v>-9.1786907515511995E-3</v>
      </c>
      <c r="J507" s="77"/>
      <c r="K507" s="77"/>
    </row>
    <row r="508" spans="1:11" ht="18">
      <c r="A508" s="237">
        <v>43539</v>
      </c>
      <c r="B508" s="238">
        <v>84.58</v>
      </c>
      <c r="C508" s="47">
        <f t="shared" si="17"/>
        <v>-4.2382858488344555E-3</v>
      </c>
      <c r="G508" s="81">
        <v>43515</v>
      </c>
      <c r="H508" s="82">
        <v>271.38</v>
      </c>
      <c r="I508" s="166">
        <f t="shared" si="16"/>
        <v>5.5952866194834971E-3</v>
      </c>
      <c r="J508" s="77"/>
      <c r="K508" s="77"/>
    </row>
    <row r="509" spans="1:11" ht="18">
      <c r="A509" s="237">
        <v>43540</v>
      </c>
      <c r="B509" s="238">
        <v>84.2</v>
      </c>
      <c r="C509" s="47">
        <f t="shared" si="17"/>
        <v>-4.4927878931189102E-3</v>
      </c>
      <c r="G509" s="81">
        <v>43516</v>
      </c>
      <c r="H509" s="82">
        <v>268.89999999999998</v>
      </c>
      <c r="I509" s="166">
        <f t="shared" si="16"/>
        <v>-9.1384774117474477E-3</v>
      </c>
      <c r="J509" s="77"/>
      <c r="K509" s="77"/>
    </row>
    <row r="510" spans="1:11" ht="18">
      <c r="A510" s="237">
        <v>43543</v>
      </c>
      <c r="B510" s="238">
        <v>84.21</v>
      </c>
      <c r="C510" s="47">
        <f t="shared" si="17"/>
        <v>1.1876484560557898E-4</v>
      </c>
      <c r="G510" s="81">
        <v>43517</v>
      </c>
      <c r="H510" s="82">
        <v>266.10000000000002</v>
      </c>
      <c r="I510" s="166">
        <f t="shared" si="16"/>
        <v>-1.0412792859799014E-2</v>
      </c>
      <c r="J510" s="77"/>
      <c r="K510" s="77"/>
    </row>
    <row r="511" spans="1:11" ht="18">
      <c r="A511" s="237">
        <v>43544</v>
      </c>
      <c r="B511" s="238">
        <v>84.81</v>
      </c>
      <c r="C511" s="47">
        <f t="shared" si="17"/>
        <v>7.1250445315285127E-3</v>
      </c>
      <c r="G511" s="81">
        <v>43518</v>
      </c>
      <c r="H511" s="82">
        <v>266.82</v>
      </c>
      <c r="I511" s="166">
        <f t="shared" si="16"/>
        <v>2.7057497181508516E-3</v>
      </c>
      <c r="J511" s="77"/>
      <c r="K511" s="77"/>
    </row>
    <row r="512" spans="1:11" ht="18">
      <c r="A512" s="237">
        <v>43545</v>
      </c>
      <c r="B512" s="238">
        <v>85.55</v>
      </c>
      <c r="C512" s="47">
        <f t="shared" si="17"/>
        <v>8.7253861572926805E-3</v>
      </c>
      <c r="G512" s="81">
        <v>43519</v>
      </c>
      <c r="H512" s="82">
        <v>263.04000000000002</v>
      </c>
      <c r="I512" s="166">
        <f t="shared" si="16"/>
        <v>-1.4166854058916045E-2</v>
      </c>
      <c r="J512" s="77"/>
      <c r="K512" s="77"/>
    </row>
    <row r="513" spans="1:11" ht="18">
      <c r="A513" s="237">
        <v>43546</v>
      </c>
      <c r="B513" s="238">
        <v>85.86</v>
      </c>
      <c r="C513" s="47">
        <f t="shared" si="17"/>
        <v>3.6236119228520991E-3</v>
      </c>
      <c r="G513" s="81">
        <v>43522</v>
      </c>
      <c r="H513" s="82">
        <v>262.44</v>
      </c>
      <c r="I513" s="166">
        <f t="shared" si="16"/>
        <v>-2.2810218978103203E-3</v>
      </c>
      <c r="J513" s="77"/>
      <c r="K513" s="77"/>
    </row>
    <row r="514" spans="1:11" ht="18">
      <c r="A514" s="237">
        <v>43547</v>
      </c>
      <c r="B514" s="238">
        <v>85.39</v>
      </c>
      <c r="C514" s="47">
        <f t="shared" si="17"/>
        <v>-5.4740274866060812E-3</v>
      </c>
      <c r="G514" s="81">
        <v>43523</v>
      </c>
      <c r="H514" s="82">
        <v>261.95999999999998</v>
      </c>
      <c r="I514" s="166">
        <f t="shared" si="16"/>
        <v>-1.8289894833105613E-3</v>
      </c>
      <c r="J514" s="77"/>
      <c r="K514" s="77"/>
    </row>
    <row r="515" spans="1:11" ht="18">
      <c r="A515" s="237">
        <v>43550</v>
      </c>
      <c r="B515" s="238">
        <v>85.03</v>
      </c>
      <c r="C515" s="47">
        <f t="shared" si="17"/>
        <v>-4.215950345473729E-3</v>
      </c>
      <c r="G515" s="81">
        <v>43524</v>
      </c>
      <c r="H515" s="82">
        <v>266.91000000000003</v>
      </c>
      <c r="I515" s="166">
        <f t="shared" si="16"/>
        <v>1.8896014658726701E-2</v>
      </c>
      <c r="J515" s="77"/>
      <c r="K515" s="77"/>
    </row>
    <row r="516" spans="1:11" ht="18">
      <c r="A516" s="237">
        <v>43551</v>
      </c>
      <c r="B516" s="238">
        <v>84.73</v>
      </c>
      <c r="C516" s="47">
        <f t="shared" si="17"/>
        <v>-3.5281665294601972E-3</v>
      </c>
      <c r="G516" s="81">
        <v>43525</v>
      </c>
      <c r="H516" s="82">
        <v>266.11</v>
      </c>
      <c r="I516" s="166">
        <f t="shared" si="16"/>
        <v>-2.9972649956915287E-3</v>
      </c>
      <c r="J516" s="77"/>
      <c r="K516" s="77"/>
    </row>
    <row r="517" spans="1:11" ht="18">
      <c r="A517" s="237">
        <v>43552</v>
      </c>
      <c r="B517" s="238">
        <v>85.14</v>
      </c>
      <c r="C517" s="47">
        <f t="shared" si="17"/>
        <v>4.8389000354065459E-3</v>
      </c>
      <c r="G517" s="81">
        <v>43526</v>
      </c>
      <c r="H517" s="82">
        <v>268.01</v>
      </c>
      <c r="I517" s="166">
        <f t="shared" si="16"/>
        <v>7.1399045507496428E-3</v>
      </c>
      <c r="J517" s="77"/>
      <c r="K517" s="77"/>
    </row>
    <row r="518" spans="1:11" ht="18">
      <c r="A518" s="237">
        <v>43553</v>
      </c>
      <c r="B518" s="238">
        <v>85.73</v>
      </c>
      <c r="C518" s="47">
        <f t="shared" si="17"/>
        <v>6.9297627437163722E-3</v>
      </c>
      <c r="G518" s="81">
        <v>43529</v>
      </c>
      <c r="H518" s="82">
        <v>269.11</v>
      </c>
      <c r="I518" s="166">
        <f t="shared" si="16"/>
        <v>4.104324465505016E-3</v>
      </c>
      <c r="J518" s="77"/>
      <c r="K518" s="77"/>
    </row>
    <row r="519" spans="1:11" ht="18">
      <c r="A519" s="237">
        <v>43554</v>
      </c>
      <c r="B519" s="238">
        <v>86.28</v>
      </c>
      <c r="C519" s="47">
        <f t="shared" si="17"/>
        <v>6.4154904934095036E-3</v>
      </c>
      <c r="G519" s="81">
        <v>43530</v>
      </c>
      <c r="H519" s="82">
        <v>267.35000000000002</v>
      </c>
      <c r="I519" s="166">
        <f t="shared" si="16"/>
        <v>-6.5400765486232082E-3</v>
      </c>
      <c r="J519" s="77"/>
      <c r="K519" s="77"/>
    </row>
    <row r="520" spans="1:11" ht="18">
      <c r="A520" s="237">
        <v>43557</v>
      </c>
      <c r="B520" s="238">
        <v>86.24</v>
      </c>
      <c r="C520" s="47">
        <f t="shared" si="17"/>
        <v>-4.6360686138158247E-4</v>
      </c>
      <c r="G520" s="81">
        <v>43531</v>
      </c>
      <c r="H520" s="82">
        <v>266.02999999999997</v>
      </c>
      <c r="I520" s="166">
        <f t="shared" si="16"/>
        <v>-4.937348045633283E-3</v>
      </c>
      <c r="J520" s="77"/>
      <c r="K520" s="77"/>
    </row>
    <row r="521" spans="1:11" ht="18">
      <c r="A521" s="237">
        <v>43558</v>
      </c>
      <c r="B521" s="238">
        <v>86.36</v>
      </c>
      <c r="C521" s="47">
        <f t="shared" si="17"/>
        <v>1.3914656771800704E-3</v>
      </c>
      <c r="G521" s="81">
        <v>43532</v>
      </c>
      <c r="H521" s="82">
        <v>263.08999999999997</v>
      </c>
      <c r="I521" s="166">
        <f t="shared" si="16"/>
        <v>-1.1051385182122342E-2</v>
      </c>
      <c r="J521" s="77"/>
      <c r="K521" s="77"/>
    </row>
    <row r="522" spans="1:11" ht="18">
      <c r="A522" s="237">
        <v>43559</v>
      </c>
      <c r="B522" s="238">
        <v>86.18</v>
      </c>
      <c r="C522" s="47">
        <f t="shared" si="17"/>
        <v>-2.0842982862435688E-3</v>
      </c>
      <c r="G522" s="81">
        <v>43533</v>
      </c>
      <c r="H522" s="82">
        <v>260.02999999999997</v>
      </c>
      <c r="I522" s="166">
        <f t="shared" si="16"/>
        <v>-1.1631000798205893E-2</v>
      </c>
      <c r="J522" s="77"/>
      <c r="K522" s="77"/>
    </row>
    <row r="523" spans="1:11" ht="18">
      <c r="A523" s="237">
        <v>43560</v>
      </c>
      <c r="B523" s="238">
        <v>86.09</v>
      </c>
      <c r="C523" s="47">
        <f t="shared" si="17"/>
        <v>-1.0443258296588542E-3</v>
      </c>
      <c r="G523" s="81">
        <v>43536</v>
      </c>
      <c r="H523" s="82">
        <v>260.31</v>
      </c>
      <c r="I523" s="166">
        <f t="shared" si="16"/>
        <v>1.0767988309041687E-3</v>
      </c>
      <c r="J523" s="77"/>
      <c r="K523" s="77"/>
    </row>
    <row r="524" spans="1:11" ht="18">
      <c r="A524" s="237">
        <v>43564</v>
      </c>
      <c r="B524" s="238">
        <v>85.64</v>
      </c>
      <c r="C524" s="47">
        <f t="shared" si="17"/>
        <v>-5.2270879312348306E-3</v>
      </c>
      <c r="G524" s="81">
        <v>43537</v>
      </c>
      <c r="H524" s="82">
        <v>257.08</v>
      </c>
      <c r="I524" s="166">
        <f t="shared" si="16"/>
        <v>-1.2408282432484374E-2</v>
      </c>
      <c r="J524" s="77"/>
      <c r="K524" s="77"/>
    </row>
    <row r="525" spans="1:11" ht="18">
      <c r="A525" s="237">
        <v>43565</v>
      </c>
      <c r="B525" s="238">
        <v>85.73</v>
      </c>
      <c r="C525" s="47">
        <f t="shared" si="17"/>
        <v>1.0509107893508229E-3</v>
      </c>
      <c r="G525" s="81">
        <v>43538</v>
      </c>
      <c r="H525" s="82">
        <v>256.33999999999997</v>
      </c>
      <c r="I525" s="166">
        <f t="shared" si="16"/>
        <v>-2.8784814065661024E-3</v>
      </c>
      <c r="J525" s="77"/>
      <c r="K525" s="77"/>
    </row>
    <row r="526" spans="1:11" ht="18">
      <c r="A526" s="237">
        <v>43566</v>
      </c>
      <c r="B526" s="238">
        <v>85.98</v>
      </c>
      <c r="C526" s="47">
        <f t="shared" si="17"/>
        <v>2.9161320424588855E-3</v>
      </c>
      <c r="G526" s="81">
        <v>43539</v>
      </c>
      <c r="H526" s="82">
        <v>255.29</v>
      </c>
      <c r="I526" s="166">
        <f t="shared" si="16"/>
        <v>-4.0961223375204359E-3</v>
      </c>
      <c r="J526" s="77"/>
      <c r="K526" s="77"/>
    </row>
    <row r="527" spans="1:11" ht="18">
      <c r="A527" s="237">
        <v>43567</v>
      </c>
      <c r="B527" s="238">
        <v>86.07</v>
      </c>
      <c r="C527" s="47">
        <f t="shared" si="17"/>
        <v>1.0467550593160624E-3</v>
      </c>
      <c r="G527" s="81">
        <v>43540</v>
      </c>
      <c r="H527" s="82">
        <v>257.3</v>
      </c>
      <c r="I527" s="166">
        <f t="shared" ref="I527:I590" si="18">H527/H526-1</f>
        <v>7.8733988797055066E-3</v>
      </c>
      <c r="J527" s="77"/>
      <c r="K527" s="77"/>
    </row>
    <row r="528" spans="1:11" ht="18">
      <c r="A528" s="237">
        <v>43568</v>
      </c>
      <c r="B528" s="238">
        <v>85.89</v>
      </c>
      <c r="C528" s="47">
        <f t="shared" si="17"/>
        <v>-2.0913210177760932E-3</v>
      </c>
      <c r="G528" s="81">
        <v>43543</v>
      </c>
      <c r="H528" s="82">
        <v>255.27</v>
      </c>
      <c r="I528" s="166">
        <f t="shared" si="18"/>
        <v>-7.8896230081616503E-3</v>
      </c>
      <c r="J528" s="77"/>
      <c r="K528" s="77"/>
    </row>
    <row r="529" spans="1:11" ht="18">
      <c r="A529" s="237">
        <v>43571</v>
      </c>
      <c r="B529" s="238">
        <v>85.34</v>
      </c>
      <c r="C529" s="47">
        <f t="shared" si="17"/>
        <v>-6.4035394108743482E-3</v>
      </c>
      <c r="G529" s="81">
        <v>43544</v>
      </c>
      <c r="H529" s="82">
        <v>257.87</v>
      </c>
      <c r="I529" s="166">
        <f t="shared" si="18"/>
        <v>1.0185294002428735E-2</v>
      </c>
      <c r="J529" s="77"/>
      <c r="K529" s="77"/>
    </row>
    <row r="530" spans="1:11" ht="18">
      <c r="A530" s="237">
        <v>43572</v>
      </c>
      <c r="B530" s="238">
        <v>85.32</v>
      </c>
      <c r="C530" s="47">
        <f t="shared" si="17"/>
        <v>-2.3435669088367472E-4</v>
      </c>
      <c r="G530" s="81">
        <v>43545</v>
      </c>
      <c r="H530" s="82">
        <v>259.75</v>
      </c>
      <c r="I530" s="166">
        <f t="shared" si="18"/>
        <v>7.29049521076508E-3</v>
      </c>
      <c r="J530" s="77"/>
      <c r="K530" s="77"/>
    </row>
    <row r="531" spans="1:11" ht="18">
      <c r="A531" s="237">
        <v>43573</v>
      </c>
      <c r="B531" s="238">
        <v>84.91</v>
      </c>
      <c r="C531" s="47">
        <f t="shared" si="17"/>
        <v>-4.8054383497421194E-3</v>
      </c>
      <c r="G531" s="81">
        <v>43546</v>
      </c>
      <c r="H531" s="82">
        <v>263.10000000000002</v>
      </c>
      <c r="I531" s="166">
        <f t="shared" si="18"/>
        <v>1.2897016361886449E-2</v>
      </c>
      <c r="J531" s="77"/>
      <c r="K531" s="77"/>
    </row>
    <row r="532" spans="1:11" ht="18">
      <c r="A532" s="237">
        <v>43574</v>
      </c>
      <c r="B532" s="238">
        <v>84.81</v>
      </c>
      <c r="C532" s="47">
        <f t="shared" si="17"/>
        <v>-1.1777175833234121E-3</v>
      </c>
      <c r="G532" s="81">
        <v>43547</v>
      </c>
      <c r="H532" s="82">
        <v>262.02</v>
      </c>
      <c r="I532" s="166">
        <f t="shared" si="18"/>
        <v>-4.104903078677502E-3</v>
      </c>
      <c r="J532" s="77"/>
      <c r="K532" s="77"/>
    </row>
    <row r="533" spans="1:11" ht="18">
      <c r="A533" s="237">
        <v>43575</v>
      </c>
      <c r="B533" s="238">
        <v>84.82</v>
      </c>
      <c r="C533" s="47">
        <f t="shared" si="17"/>
        <v>1.1791062374699735E-4</v>
      </c>
      <c r="G533" s="81">
        <v>43550</v>
      </c>
      <c r="H533" s="82">
        <v>260.29000000000002</v>
      </c>
      <c r="I533" s="166">
        <f t="shared" si="18"/>
        <v>-6.6025494237079707E-3</v>
      </c>
      <c r="J533" s="77"/>
      <c r="K533" s="77"/>
    </row>
    <row r="534" spans="1:11" ht="18">
      <c r="A534" s="237">
        <v>43578</v>
      </c>
      <c r="B534" s="238">
        <v>85.05</v>
      </c>
      <c r="C534" s="47">
        <f t="shared" si="17"/>
        <v>2.7116246168357172E-3</v>
      </c>
      <c r="G534" s="81">
        <v>43551</v>
      </c>
      <c r="H534" s="82">
        <v>261.61</v>
      </c>
      <c r="I534" s="166">
        <f t="shared" si="18"/>
        <v>5.0712666641052895E-3</v>
      </c>
      <c r="J534" s="77"/>
      <c r="K534" s="77"/>
    </row>
    <row r="535" spans="1:11" ht="18">
      <c r="A535" s="237">
        <v>43579</v>
      </c>
      <c r="B535" s="238">
        <v>85.57</v>
      </c>
      <c r="C535" s="47">
        <f t="shared" ref="C535:C598" si="19">B535/B534-1</f>
        <v>6.114050558494899E-3</v>
      </c>
      <c r="G535" s="81">
        <v>43552</v>
      </c>
      <c r="H535" s="82">
        <v>264.2</v>
      </c>
      <c r="I535" s="166">
        <f t="shared" si="18"/>
        <v>9.9002331715147829E-3</v>
      </c>
      <c r="J535" s="77"/>
      <c r="K535" s="77"/>
    </row>
    <row r="536" spans="1:11" ht="18">
      <c r="A536" s="237">
        <v>43580</v>
      </c>
      <c r="B536" s="238">
        <v>85.34</v>
      </c>
      <c r="C536" s="47">
        <f t="shared" si="19"/>
        <v>-2.6878578941216258E-3</v>
      </c>
      <c r="G536" s="81">
        <v>43553</v>
      </c>
      <c r="H536" s="82">
        <v>265.64999999999998</v>
      </c>
      <c r="I536" s="166">
        <f t="shared" si="18"/>
        <v>5.488266464799274E-3</v>
      </c>
      <c r="J536" s="77"/>
      <c r="K536" s="77"/>
    </row>
    <row r="537" spans="1:11" ht="18">
      <c r="A537" s="237">
        <v>43581</v>
      </c>
      <c r="B537" s="238">
        <v>85.36</v>
      </c>
      <c r="C537" s="47">
        <f t="shared" si="19"/>
        <v>2.343566908835637E-4</v>
      </c>
      <c r="G537" s="81">
        <v>43554</v>
      </c>
      <c r="H537" s="82">
        <v>266.8</v>
      </c>
      <c r="I537" s="166">
        <f t="shared" si="18"/>
        <v>4.3290043290045155E-3</v>
      </c>
    </row>
    <row r="538" spans="1:11" ht="18">
      <c r="A538" s="237">
        <v>43582</v>
      </c>
      <c r="B538" s="238">
        <v>86.15</v>
      </c>
      <c r="C538" s="47">
        <f t="shared" si="19"/>
        <v>9.2549203373946121E-3</v>
      </c>
      <c r="G538" s="81">
        <v>43557</v>
      </c>
      <c r="H538" s="82">
        <v>267.08</v>
      </c>
      <c r="I538" s="166">
        <f t="shared" si="18"/>
        <v>1.0494752623686487E-3</v>
      </c>
    </row>
    <row r="539" spans="1:11" ht="18">
      <c r="A539" s="237">
        <v>43585</v>
      </c>
      <c r="B539" s="238">
        <v>84.95</v>
      </c>
      <c r="C539" s="47">
        <f t="shared" si="19"/>
        <v>-1.3929193267556594E-2</v>
      </c>
      <c r="G539" s="81">
        <v>43558</v>
      </c>
      <c r="H539" s="82">
        <v>266.64999999999998</v>
      </c>
      <c r="I539" s="166">
        <f t="shared" si="18"/>
        <v>-1.6100044930358326E-3</v>
      </c>
    </row>
    <row r="540" spans="1:11" ht="18">
      <c r="A540" s="237">
        <v>43586</v>
      </c>
      <c r="B540" s="238">
        <v>85.31</v>
      </c>
      <c r="C540" s="47">
        <f t="shared" si="19"/>
        <v>4.2377869334901952E-3</v>
      </c>
      <c r="G540" s="81">
        <v>43559</v>
      </c>
      <c r="H540" s="82">
        <v>266.48</v>
      </c>
      <c r="I540" s="166">
        <f t="shared" si="18"/>
        <v>-6.3753984624026483E-4</v>
      </c>
    </row>
    <row r="541" spans="1:11" ht="18">
      <c r="A541" s="237">
        <v>43587</v>
      </c>
      <c r="B541" s="238">
        <v>85.58</v>
      </c>
      <c r="C541" s="47">
        <f t="shared" si="19"/>
        <v>3.1649279099752459E-3</v>
      </c>
      <c r="G541" s="81">
        <v>43560</v>
      </c>
      <c r="H541" s="82">
        <v>266.43</v>
      </c>
      <c r="I541" s="166">
        <f t="shared" si="18"/>
        <v>-1.8763134193944264E-4</v>
      </c>
    </row>
    <row r="542" spans="1:11" ht="18">
      <c r="A542" s="237">
        <v>43588</v>
      </c>
      <c r="B542" s="238">
        <v>85.15</v>
      </c>
      <c r="C542" s="47">
        <f t="shared" si="19"/>
        <v>-5.0245384435615437E-3</v>
      </c>
      <c r="G542" s="81">
        <v>43561</v>
      </c>
      <c r="H542" s="82">
        <v>266.52999999999997</v>
      </c>
      <c r="I542" s="166">
        <f t="shared" si="18"/>
        <v>3.7533310813331333E-4</v>
      </c>
    </row>
    <row r="543" spans="1:11" ht="18">
      <c r="A543" s="237">
        <v>43589</v>
      </c>
      <c r="B543" s="238">
        <v>85.39</v>
      </c>
      <c r="C543" s="47">
        <f t="shared" si="19"/>
        <v>2.8185554903110699E-3</v>
      </c>
      <c r="E543" s="81"/>
      <c r="F543" s="82"/>
      <c r="G543" s="81">
        <v>43564</v>
      </c>
      <c r="H543" s="82">
        <v>266.7</v>
      </c>
      <c r="I543" s="166">
        <f t="shared" si="18"/>
        <v>6.3782688627922468E-4</v>
      </c>
    </row>
    <row r="544" spans="1:11" ht="18">
      <c r="A544" s="237">
        <v>43592</v>
      </c>
      <c r="B544" s="238">
        <v>85.05</v>
      </c>
      <c r="C544" s="47">
        <f t="shared" si="19"/>
        <v>-3.9817308818362873E-3</v>
      </c>
      <c r="E544" s="81"/>
      <c r="F544" s="82"/>
      <c r="G544" s="81">
        <v>43565</v>
      </c>
      <c r="H544" s="82">
        <v>268.79000000000002</v>
      </c>
      <c r="I544" s="166">
        <f t="shared" si="18"/>
        <v>7.8365204349457596E-3</v>
      </c>
    </row>
    <row r="545" spans="1:9" ht="18">
      <c r="A545" s="237">
        <v>43593</v>
      </c>
      <c r="B545" s="238">
        <v>85.01</v>
      </c>
      <c r="C545" s="47">
        <f t="shared" si="19"/>
        <v>-4.703115814226333E-4</v>
      </c>
      <c r="E545" s="81"/>
      <c r="F545" s="82"/>
      <c r="G545" s="81">
        <v>43566</v>
      </c>
      <c r="H545" s="82">
        <v>268.49</v>
      </c>
      <c r="I545" s="166">
        <f t="shared" si="18"/>
        <v>-1.1161129506306322E-3</v>
      </c>
    </row>
    <row r="546" spans="1:9" ht="18">
      <c r="A546" s="237">
        <v>43594</v>
      </c>
      <c r="B546" s="238">
        <v>85.48</v>
      </c>
      <c r="C546" s="47">
        <f t="shared" si="19"/>
        <v>5.5287613221974841E-3</v>
      </c>
      <c r="E546" s="81"/>
      <c r="F546" s="82"/>
      <c r="G546" s="81">
        <v>43567</v>
      </c>
      <c r="H546" s="82">
        <v>269.14</v>
      </c>
      <c r="I546" s="166">
        <f t="shared" si="18"/>
        <v>2.420946776416244E-3</v>
      </c>
    </row>
    <row r="547" spans="1:9" ht="18">
      <c r="A547" s="237">
        <v>43595</v>
      </c>
      <c r="B547" s="238">
        <v>85.75</v>
      </c>
      <c r="C547" s="47">
        <f t="shared" si="19"/>
        <v>3.1586335985025471E-3</v>
      </c>
      <c r="E547" s="81"/>
      <c r="F547" s="82"/>
      <c r="G547" s="81">
        <v>43568</v>
      </c>
      <c r="H547" s="82">
        <v>269.76</v>
      </c>
      <c r="I547" s="166">
        <f t="shared" si="18"/>
        <v>2.3036337965371967E-3</v>
      </c>
    </row>
    <row r="548" spans="1:9" ht="18">
      <c r="A548" s="237">
        <v>43596</v>
      </c>
      <c r="B548" s="238">
        <v>85.21</v>
      </c>
      <c r="C548" s="47">
        <f t="shared" si="19"/>
        <v>-6.2973760932945044E-3</v>
      </c>
      <c r="E548" s="81"/>
      <c r="F548" s="82"/>
      <c r="G548" s="81">
        <v>43571</v>
      </c>
      <c r="H548" s="82">
        <v>270.72000000000003</v>
      </c>
      <c r="I548" s="166">
        <f t="shared" si="18"/>
        <v>3.558718861210064E-3</v>
      </c>
    </row>
    <row r="549" spans="1:9" ht="18">
      <c r="A549" s="237">
        <v>43599</v>
      </c>
      <c r="B549" s="238">
        <v>84.84</v>
      </c>
      <c r="C549" s="47">
        <f t="shared" si="19"/>
        <v>-4.3422133552398767E-3</v>
      </c>
      <c r="E549" s="81"/>
      <c r="F549" s="82"/>
      <c r="G549" s="81">
        <v>43572</v>
      </c>
      <c r="H549" s="82">
        <v>270.08</v>
      </c>
      <c r="I549" s="166">
        <f t="shared" si="18"/>
        <v>-2.3640661938535423E-3</v>
      </c>
    </row>
    <row r="550" spans="1:9" ht="18">
      <c r="A550" s="237">
        <v>43600</v>
      </c>
      <c r="B550" s="238">
        <v>84.51</v>
      </c>
      <c r="C550" s="47">
        <f t="shared" si="19"/>
        <v>-3.8896746817538297E-3</v>
      </c>
      <c r="E550" s="81"/>
      <c r="F550" s="82"/>
      <c r="G550" s="81">
        <v>43573</v>
      </c>
      <c r="H550" s="82">
        <v>267.45999999999998</v>
      </c>
      <c r="I550" s="166">
        <f t="shared" si="18"/>
        <v>-9.700829383886278E-3</v>
      </c>
    </row>
    <row r="551" spans="1:9" ht="18">
      <c r="A551" s="237">
        <v>43601</v>
      </c>
      <c r="B551" s="238">
        <v>84.52</v>
      </c>
      <c r="C551" s="47">
        <f t="shared" si="19"/>
        <v>1.183291918114282E-4</v>
      </c>
      <c r="E551" s="81"/>
      <c r="F551" s="82"/>
      <c r="G551" s="81">
        <v>43574</v>
      </c>
      <c r="H551" s="82">
        <v>267.20999999999998</v>
      </c>
      <c r="I551" s="166">
        <f t="shared" si="18"/>
        <v>-9.3471921034926631E-4</v>
      </c>
    </row>
    <row r="552" spans="1:9" ht="18">
      <c r="A552" s="237">
        <v>43602</v>
      </c>
      <c r="B552" s="238">
        <v>84.18</v>
      </c>
      <c r="C552" s="47">
        <f t="shared" si="19"/>
        <v>-4.0227165168006396E-3</v>
      </c>
      <c r="E552" s="81"/>
      <c r="F552" s="82"/>
      <c r="G552" s="81">
        <v>43575</v>
      </c>
      <c r="H552" s="82">
        <v>264.67</v>
      </c>
      <c r="I552" s="166">
        <f t="shared" si="18"/>
        <v>-9.5056322742410604E-3</v>
      </c>
    </row>
    <row r="553" spans="1:9" ht="18">
      <c r="A553" s="237">
        <v>43603</v>
      </c>
      <c r="B553" s="238">
        <v>84.17</v>
      </c>
      <c r="C553" s="47">
        <f t="shared" si="19"/>
        <v>-1.1879306248518962E-4</v>
      </c>
      <c r="E553" s="81"/>
      <c r="F553" s="82"/>
      <c r="G553" s="81">
        <v>43578</v>
      </c>
      <c r="H553" s="82">
        <v>264.33</v>
      </c>
      <c r="I553" s="166">
        <f t="shared" si="18"/>
        <v>-1.2846185816300926E-3</v>
      </c>
    </row>
    <row r="554" spans="1:9" ht="18">
      <c r="A554" s="237">
        <v>43606</v>
      </c>
      <c r="B554" s="238">
        <v>84.16</v>
      </c>
      <c r="C554" s="47">
        <f t="shared" si="19"/>
        <v>-1.1880717595347257E-4</v>
      </c>
      <c r="E554" s="81"/>
      <c r="F554" s="82"/>
      <c r="G554" s="81">
        <v>43579</v>
      </c>
      <c r="H554" s="82">
        <v>261.2</v>
      </c>
      <c r="I554" s="166">
        <f t="shared" si="18"/>
        <v>-1.184125903227029E-2</v>
      </c>
    </row>
    <row r="555" spans="1:9" ht="18">
      <c r="A555" s="237">
        <v>43607</v>
      </c>
      <c r="B555" s="238">
        <v>84.26</v>
      </c>
      <c r="C555" s="47">
        <f t="shared" si="19"/>
        <v>1.1882129277567266E-3</v>
      </c>
      <c r="E555" s="81"/>
      <c r="F555" s="82"/>
      <c r="G555" s="81">
        <v>43580</v>
      </c>
      <c r="H555" s="82">
        <v>262.14</v>
      </c>
      <c r="I555" s="166">
        <f t="shared" si="18"/>
        <v>3.5987748851453727E-3</v>
      </c>
    </row>
    <row r="556" spans="1:9" ht="18">
      <c r="A556" s="237">
        <v>43608</v>
      </c>
      <c r="B556" s="238">
        <v>84.12</v>
      </c>
      <c r="C556" s="47">
        <f t="shared" si="19"/>
        <v>-1.6615238547353917E-3</v>
      </c>
      <c r="E556" s="81"/>
      <c r="F556" s="82"/>
      <c r="G556" s="81">
        <v>43581</v>
      </c>
      <c r="H556" s="82">
        <v>263.25</v>
      </c>
      <c r="I556" s="166">
        <f t="shared" si="18"/>
        <v>4.234378576333242E-3</v>
      </c>
    </row>
    <row r="557" spans="1:9" ht="18">
      <c r="A557" s="237">
        <v>43609</v>
      </c>
      <c r="B557" s="238">
        <v>83.9</v>
      </c>
      <c r="C557" s="47">
        <f t="shared" si="19"/>
        <v>-2.6153114598193028E-3</v>
      </c>
      <c r="E557" s="81"/>
      <c r="F557" s="82"/>
      <c r="G557" s="81">
        <v>43582</v>
      </c>
      <c r="H557" s="82">
        <v>264.77</v>
      </c>
      <c r="I557" s="166">
        <f t="shared" si="18"/>
        <v>5.7739791073123659E-3</v>
      </c>
    </row>
    <row r="558" spans="1:9" ht="18">
      <c r="A558" s="237">
        <v>43610</v>
      </c>
      <c r="B558" s="238">
        <v>84.25</v>
      </c>
      <c r="C558" s="47">
        <f t="shared" si="19"/>
        <v>4.1716328963050664E-3</v>
      </c>
      <c r="E558" s="81"/>
      <c r="F558" s="82"/>
      <c r="G558" s="81">
        <v>43585</v>
      </c>
      <c r="H558" s="82">
        <v>264.69</v>
      </c>
      <c r="I558" s="166">
        <f t="shared" si="18"/>
        <v>-3.021490350114675E-4</v>
      </c>
    </row>
    <row r="559" spans="1:9" ht="18">
      <c r="A559" s="237">
        <v>43614</v>
      </c>
      <c r="B559" s="238">
        <v>84.89</v>
      </c>
      <c r="C559" s="47">
        <f t="shared" si="19"/>
        <v>7.5964391691394351E-3</v>
      </c>
      <c r="E559" s="81"/>
      <c r="F559" s="82"/>
      <c r="G559" s="81">
        <v>43586</v>
      </c>
      <c r="H559" s="82">
        <v>263.89999999999998</v>
      </c>
      <c r="I559" s="166">
        <f t="shared" si="18"/>
        <v>-2.9846235218558004E-3</v>
      </c>
    </row>
    <row r="560" spans="1:9" ht="18">
      <c r="A560" s="237">
        <v>43615</v>
      </c>
      <c r="B560" s="238">
        <v>84.78</v>
      </c>
      <c r="C560" s="47">
        <f t="shared" si="19"/>
        <v>-1.2957945576628216E-3</v>
      </c>
      <c r="E560" s="81"/>
      <c r="F560" s="82"/>
      <c r="G560" s="81">
        <v>43587</v>
      </c>
      <c r="H560" s="82">
        <v>263.07</v>
      </c>
      <c r="I560" s="166">
        <f t="shared" si="18"/>
        <v>-3.1451307313375976E-3</v>
      </c>
    </row>
    <row r="561" spans="1:9" ht="18">
      <c r="A561" s="237">
        <v>43616</v>
      </c>
      <c r="B561" s="238">
        <v>84.99</v>
      </c>
      <c r="C561" s="47">
        <f t="shared" si="19"/>
        <v>2.4769992922859529E-3</v>
      </c>
      <c r="E561" s="81"/>
      <c r="F561" s="82"/>
      <c r="G561" s="81">
        <v>43588</v>
      </c>
      <c r="H561" s="82">
        <v>264.75</v>
      </c>
      <c r="I561" s="166">
        <f t="shared" si="18"/>
        <v>6.3861329684113954E-3</v>
      </c>
    </row>
    <row r="562" spans="1:9" ht="18">
      <c r="A562" s="237">
        <v>43617</v>
      </c>
      <c r="B562" s="238">
        <v>84.86</v>
      </c>
      <c r="C562" s="47">
        <f t="shared" si="19"/>
        <v>-1.5295917166725514E-3</v>
      </c>
      <c r="E562" s="81"/>
      <c r="F562" s="82"/>
      <c r="G562" s="81">
        <v>43589</v>
      </c>
      <c r="H562" s="82">
        <v>265.83999999999997</v>
      </c>
      <c r="I562" s="166">
        <f t="shared" si="18"/>
        <v>4.1170915958450571E-3</v>
      </c>
    </row>
    <row r="563" spans="1:9" ht="18">
      <c r="A563" s="237">
        <v>43620</v>
      </c>
      <c r="B563" s="238">
        <v>85.14</v>
      </c>
      <c r="C563" s="47">
        <f t="shared" si="19"/>
        <v>3.29955220362943E-3</v>
      </c>
      <c r="E563" s="81"/>
      <c r="F563" s="82"/>
      <c r="G563" s="81">
        <v>43592</v>
      </c>
      <c r="H563" s="82">
        <v>267.91000000000003</v>
      </c>
      <c r="I563" s="166">
        <f t="shared" si="18"/>
        <v>7.7866385795970494E-3</v>
      </c>
    </row>
    <row r="564" spans="1:9" ht="18">
      <c r="A564" s="237">
        <v>43621</v>
      </c>
      <c r="B564" s="238">
        <v>85.29</v>
      </c>
      <c r="C564" s="47">
        <f t="shared" si="19"/>
        <v>1.7618040873854657E-3</v>
      </c>
      <c r="E564" s="81"/>
      <c r="F564" s="82"/>
      <c r="G564" s="81">
        <v>43593</v>
      </c>
      <c r="H564" s="82">
        <v>265.77999999999997</v>
      </c>
      <c r="I564" s="166">
        <f t="shared" si="18"/>
        <v>-7.9504311149268814E-3</v>
      </c>
    </row>
    <row r="565" spans="1:9" ht="18">
      <c r="A565" s="237">
        <v>43622</v>
      </c>
      <c r="B565" s="238">
        <v>84.79</v>
      </c>
      <c r="C565" s="47">
        <f t="shared" si="19"/>
        <v>-5.8623519756125786E-3</v>
      </c>
      <c r="E565" s="81"/>
      <c r="F565" s="82"/>
      <c r="G565" s="81">
        <v>43594</v>
      </c>
      <c r="H565" s="82">
        <v>265.52999999999997</v>
      </c>
      <c r="I565" s="166">
        <f t="shared" si="18"/>
        <v>-9.4062758672586178E-4</v>
      </c>
    </row>
    <row r="566" spans="1:9" ht="18">
      <c r="A566" s="237">
        <v>43623</v>
      </c>
      <c r="B566" s="238">
        <v>85.27</v>
      </c>
      <c r="C566" s="47">
        <f t="shared" si="19"/>
        <v>5.6610449345440017E-3</v>
      </c>
      <c r="E566" s="81"/>
      <c r="F566" s="82"/>
      <c r="G566" s="81">
        <v>43595</v>
      </c>
      <c r="H566" s="82">
        <v>265.05</v>
      </c>
      <c r="I566" s="166">
        <f t="shared" si="18"/>
        <v>-1.8077053440287427E-3</v>
      </c>
    </row>
    <row r="567" spans="1:9" ht="18">
      <c r="A567" s="237">
        <v>43624</v>
      </c>
      <c r="B567" s="238">
        <v>85.17</v>
      </c>
      <c r="C567" s="47">
        <f t="shared" si="19"/>
        <v>-1.1727453969742063E-3</v>
      </c>
      <c r="E567" s="81"/>
      <c r="F567" s="82"/>
      <c r="G567" s="81">
        <v>43596</v>
      </c>
      <c r="H567" s="82">
        <v>264.02999999999997</v>
      </c>
      <c r="I567" s="166">
        <f t="shared" si="18"/>
        <v>-3.8483305036787208E-3</v>
      </c>
    </row>
    <row r="568" spans="1:9" ht="18">
      <c r="A568" s="237">
        <v>43627</v>
      </c>
      <c r="B568" s="238">
        <v>85.64</v>
      </c>
      <c r="C568" s="47">
        <f t="shared" si="19"/>
        <v>5.5183750146765576E-3</v>
      </c>
      <c r="E568" s="81"/>
      <c r="F568" s="82"/>
      <c r="G568" s="81">
        <v>43599</v>
      </c>
      <c r="H568" s="82">
        <v>265.19</v>
      </c>
      <c r="I568" s="166">
        <f t="shared" si="18"/>
        <v>4.3934401393781464E-3</v>
      </c>
    </row>
    <row r="569" spans="1:9" ht="18">
      <c r="A569" s="237">
        <v>43628</v>
      </c>
      <c r="B569" s="238">
        <v>85.51</v>
      </c>
      <c r="C569" s="47">
        <f t="shared" si="19"/>
        <v>-1.517982251284411E-3</v>
      </c>
      <c r="E569" s="81"/>
      <c r="F569" s="82"/>
      <c r="G569" s="81">
        <v>43600</v>
      </c>
      <c r="H569" s="82">
        <v>265.33999999999997</v>
      </c>
      <c r="I569" s="166">
        <f t="shared" si="18"/>
        <v>5.6563218824234873E-4</v>
      </c>
    </row>
    <row r="570" spans="1:9" ht="18">
      <c r="A570" s="237">
        <v>43629</v>
      </c>
      <c r="B570" s="238">
        <v>85.69</v>
      </c>
      <c r="C570" s="47">
        <f t="shared" si="19"/>
        <v>2.1050169570808741E-3</v>
      </c>
      <c r="E570" s="81"/>
      <c r="F570" s="82"/>
      <c r="G570" s="81">
        <v>43601</v>
      </c>
      <c r="H570" s="82">
        <v>264.23</v>
      </c>
      <c r="I570" s="166">
        <f t="shared" si="18"/>
        <v>-4.1833119770858795E-3</v>
      </c>
    </row>
    <row r="571" spans="1:9" ht="18">
      <c r="A571" s="237">
        <v>43630</v>
      </c>
      <c r="B571" s="238">
        <v>86.13</v>
      </c>
      <c r="C571" s="47">
        <f t="shared" si="19"/>
        <v>5.1347881899870274E-3</v>
      </c>
      <c r="E571" s="81"/>
      <c r="F571" s="82"/>
      <c r="G571" s="81">
        <v>43602</v>
      </c>
      <c r="H571" s="82">
        <v>264.45</v>
      </c>
      <c r="I571" s="166">
        <f t="shared" si="18"/>
        <v>8.3260795519035646E-4</v>
      </c>
    </row>
    <row r="572" spans="1:9" ht="18">
      <c r="A572" s="237">
        <v>43631</v>
      </c>
      <c r="B572" s="238">
        <v>85.79</v>
      </c>
      <c r="C572" s="47">
        <f t="shared" si="19"/>
        <v>-3.9475211889004047E-3</v>
      </c>
      <c r="E572" s="81"/>
      <c r="F572" s="82"/>
      <c r="G572" s="81">
        <v>43603</v>
      </c>
      <c r="H572" s="82">
        <v>263.67</v>
      </c>
      <c r="I572" s="166">
        <f t="shared" si="18"/>
        <v>-2.9495178672716005E-3</v>
      </c>
    </row>
    <row r="573" spans="1:9" ht="18">
      <c r="A573" s="237">
        <v>43635</v>
      </c>
      <c r="B573" s="238">
        <v>85.83</v>
      </c>
      <c r="C573" s="47">
        <f t="shared" si="19"/>
        <v>4.6625480825257526E-4</v>
      </c>
      <c r="E573" s="81"/>
      <c r="F573" s="82"/>
      <c r="G573" s="81">
        <v>43606</v>
      </c>
      <c r="H573" s="82">
        <v>264.95</v>
      </c>
      <c r="I573" s="166">
        <f t="shared" si="18"/>
        <v>4.8545530397845482E-3</v>
      </c>
    </row>
    <row r="574" spans="1:9" ht="18">
      <c r="A574" s="237">
        <v>43636</v>
      </c>
      <c r="B574" s="238">
        <v>86.28</v>
      </c>
      <c r="C574" s="47">
        <f t="shared" si="19"/>
        <v>5.2429220552254741E-3</v>
      </c>
      <c r="E574" s="81"/>
      <c r="F574" s="82"/>
      <c r="G574" s="81">
        <v>43607</v>
      </c>
      <c r="H574" s="82">
        <v>263.52</v>
      </c>
      <c r="I574" s="166">
        <f t="shared" si="18"/>
        <v>-5.397244763162834E-3</v>
      </c>
    </row>
    <row r="575" spans="1:9" ht="18">
      <c r="A575" s="237">
        <v>43637</v>
      </c>
      <c r="B575" s="238">
        <v>85.95</v>
      </c>
      <c r="C575" s="47">
        <f t="shared" si="19"/>
        <v>-3.8247566063978056E-3</v>
      </c>
      <c r="E575" s="81"/>
      <c r="F575" s="82"/>
      <c r="G575" s="81">
        <v>43608</v>
      </c>
      <c r="H575" s="82">
        <v>261.58999999999997</v>
      </c>
      <c r="I575" s="166">
        <f t="shared" si="18"/>
        <v>-7.3239222829386552E-3</v>
      </c>
    </row>
    <row r="576" spans="1:9" ht="18">
      <c r="A576" s="237">
        <v>43638</v>
      </c>
      <c r="B576" s="238">
        <v>86.05</v>
      </c>
      <c r="C576" s="47">
        <f t="shared" si="19"/>
        <v>1.1634671320535084E-3</v>
      </c>
      <c r="E576" s="81"/>
      <c r="F576" s="82"/>
      <c r="G576" s="81">
        <v>43609</v>
      </c>
      <c r="H576" s="82">
        <v>259.92</v>
      </c>
      <c r="I576" s="166">
        <f t="shared" si="18"/>
        <v>-6.3840360870062174E-3</v>
      </c>
    </row>
    <row r="577" spans="1:9" ht="18">
      <c r="A577" s="237">
        <v>43641</v>
      </c>
      <c r="B577" s="238">
        <v>86.32</v>
      </c>
      <c r="C577" s="47">
        <f t="shared" si="19"/>
        <v>3.1377106333525528E-3</v>
      </c>
      <c r="E577" s="81"/>
      <c r="F577" s="82"/>
      <c r="G577" s="81">
        <v>43610</v>
      </c>
      <c r="H577" s="82">
        <v>261.86</v>
      </c>
      <c r="I577" s="166">
        <f t="shared" si="18"/>
        <v>7.4638350261619912E-3</v>
      </c>
    </row>
    <row r="578" spans="1:9" ht="18">
      <c r="A578" s="237">
        <v>43642</v>
      </c>
      <c r="B578" s="238">
        <v>86.32</v>
      </c>
      <c r="C578" s="47">
        <f t="shared" si="19"/>
        <v>0</v>
      </c>
      <c r="E578" s="81"/>
      <c r="F578" s="82"/>
      <c r="G578" s="81">
        <v>43613</v>
      </c>
      <c r="H578" s="82">
        <v>261.94</v>
      </c>
      <c r="I578" s="166">
        <f t="shared" si="18"/>
        <v>3.0550675933693761E-4</v>
      </c>
    </row>
    <row r="579" spans="1:9" ht="18">
      <c r="A579" s="237">
        <v>43643</v>
      </c>
      <c r="B579" s="238">
        <v>86.38</v>
      </c>
      <c r="C579" s="47">
        <f t="shared" si="19"/>
        <v>6.9508804448559225E-4</v>
      </c>
      <c r="E579" s="81"/>
      <c r="F579" s="82"/>
      <c r="G579" s="81">
        <v>43614</v>
      </c>
      <c r="H579" s="82">
        <v>261.22000000000003</v>
      </c>
      <c r="I579" s="166">
        <f t="shared" si="18"/>
        <v>-2.7487210811635299E-3</v>
      </c>
    </row>
    <row r="580" spans="1:9" ht="18">
      <c r="A580" s="237">
        <v>43644</v>
      </c>
      <c r="B580" s="238">
        <v>85.92</v>
      </c>
      <c r="C580" s="47">
        <f t="shared" si="19"/>
        <v>-5.3253067839776902E-3</v>
      </c>
      <c r="E580" s="81"/>
      <c r="F580" s="82"/>
      <c r="G580" s="81">
        <v>43615</v>
      </c>
      <c r="H580" s="82">
        <v>258.61</v>
      </c>
      <c r="I580" s="166">
        <f t="shared" si="18"/>
        <v>-9.9915779802466353E-3</v>
      </c>
    </row>
    <row r="581" spans="1:9" ht="18">
      <c r="A581" s="237">
        <v>43645</v>
      </c>
      <c r="B581" s="238">
        <v>86.54</v>
      </c>
      <c r="C581" s="47">
        <f t="shared" si="19"/>
        <v>7.2160148975792815E-3</v>
      </c>
      <c r="E581" s="81"/>
      <c r="F581" s="82"/>
      <c r="G581" s="81">
        <v>43616</v>
      </c>
      <c r="H581" s="82">
        <v>259.74</v>
      </c>
      <c r="I581" s="166">
        <f t="shared" si="18"/>
        <v>4.3695139399095861E-3</v>
      </c>
    </row>
    <row r="582" spans="1:9" ht="18">
      <c r="A582" s="237">
        <v>43648</v>
      </c>
      <c r="B582" s="238">
        <v>86.36</v>
      </c>
      <c r="C582" s="47">
        <f t="shared" si="19"/>
        <v>-2.0799630228797161E-3</v>
      </c>
      <c r="E582" s="81"/>
      <c r="F582" s="82"/>
      <c r="G582" s="81">
        <v>43617</v>
      </c>
      <c r="H582" s="82">
        <v>264.87</v>
      </c>
      <c r="I582" s="166">
        <f t="shared" si="18"/>
        <v>1.9750519750519668E-2</v>
      </c>
    </row>
    <row r="583" spans="1:9" ht="18">
      <c r="A583" s="237">
        <v>43650</v>
      </c>
      <c r="B583" s="238">
        <v>85.92</v>
      </c>
      <c r="C583" s="47">
        <f t="shared" si="19"/>
        <v>-5.0949513663732793E-3</v>
      </c>
      <c r="E583" s="81"/>
      <c r="F583" s="82"/>
      <c r="G583" s="81">
        <v>43620</v>
      </c>
      <c r="H583" s="82">
        <v>265.62</v>
      </c>
      <c r="I583" s="166">
        <f t="shared" si="18"/>
        <v>2.8315777551251031E-3</v>
      </c>
    </row>
    <row r="584" spans="1:9" ht="18">
      <c r="A584" s="237">
        <v>43651</v>
      </c>
      <c r="B584" s="238">
        <v>84.69</v>
      </c>
      <c r="C584" s="47">
        <f t="shared" si="19"/>
        <v>-1.4315642458100575E-2</v>
      </c>
      <c r="E584" s="81"/>
      <c r="F584" s="82"/>
      <c r="G584" s="81">
        <v>43621</v>
      </c>
      <c r="H584" s="82">
        <v>265.95999999999998</v>
      </c>
      <c r="I584" s="166">
        <f t="shared" si="18"/>
        <v>1.2800240945711749E-3</v>
      </c>
    </row>
    <row r="585" spans="1:9" ht="18">
      <c r="A585" s="237">
        <v>43652</v>
      </c>
      <c r="B585" s="238">
        <v>84.59</v>
      </c>
      <c r="C585" s="47">
        <f t="shared" si="19"/>
        <v>-1.1807769512338639E-3</v>
      </c>
      <c r="E585" s="81"/>
      <c r="F585" s="82"/>
      <c r="G585" s="81">
        <v>43622</v>
      </c>
      <c r="H585" s="82">
        <v>267.89999999999998</v>
      </c>
      <c r="I585" s="166">
        <f t="shared" si="18"/>
        <v>7.2943299744321344E-3</v>
      </c>
    </row>
    <row r="586" spans="1:9" ht="18">
      <c r="A586" s="237">
        <v>43655</v>
      </c>
      <c r="B586" s="238">
        <v>84.95</v>
      </c>
      <c r="C586" s="47">
        <f t="shared" si="19"/>
        <v>4.2558222012059055E-3</v>
      </c>
      <c r="E586" s="81"/>
      <c r="F586" s="82"/>
      <c r="G586" s="81">
        <v>43623</v>
      </c>
      <c r="H586" s="82">
        <v>267.49</v>
      </c>
      <c r="I586" s="166">
        <f t="shared" si="18"/>
        <v>-1.5304217991787272E-3</v>
      </c>
    </row>
    <row r="587" spans="1:9" ht="18">
      <c r="A587" s="237">
        <v>43656</v>
      </c>
      <c r="B587" s="238">
        <v>85.49</v>
      </c>
      <c r="C587" s="47">
        <f t="shared" si="19"/>
        <v>6.3566804002352928E-3</v>
      </c>
      <c r="E587" s="81"/>
      <c r="F587" s="82"/>
      <c r="G587" s="81">
        <v>43624</v>
      </c>
      <c r="H587" s="82">
        <v>269.10000000000002</v>
      </c>
      <c r="I587" s="166">
        <f t="shared" si="18"/>
        <v>6.0189165950128576E-3</v>
      </c>
    </row>
    <row r="588" spans="1:9" ht="18">
      <c r="A588" s="237">
        <v>43657</v>
      </c>
      <c r="B588" s="238">
        <v>86.51</v>
      </c>
      <c r="C588" s="47">
        <f t="shared" si="19"/>
        <v>1.1931220025734213E-2</v>
      </c>
      <c r="E588" s="81"/>
      <c r="F588" s="82"/>
      <c r="G588" s="81">
        <v>43627</v>
      </c>
      <c r="H588" s="82">
        <v>269.38</v>
      </c>
      <c r="I588" s="166">
        <f t="shared" si="18"/>
        <v>1.0405053883313364E-3</v>
      </c>
    </row>
    <row r="589" spans="1:9" ht="18">
      <c r="A589" s="237">
        <v>43658</v>
      </c>
      <c r="B589" s="238">
        <v>87.45</v>
      </c>
      <c r="C589" s="47">
        <f t="shared" si="19"/>
        <v>1.0865795861749961E-2</v>
      </c>
      <c r="E589" s="81"/>
      <c r="F589" s="82"/>
      <c r="G589" s="81">
        <v>43628</v>
      </c>
      <c r="H589" s="82">
        <v>271.41000000000003</v>
      </c>
      <c r="I589" s="166">
        <f t="shared" si="18"/>
        <v>7.5358230009652249E-3</v>
      </c>
    </row>
    <row r="590" spans="1:9" ht="18">
      <c r="A590" s="237">
        <v>43659</v>
      </c>
      <c r="B590" s="238">
        <v>86.94</v>
      </c>
      <c r="C590" s="47">
        <f t="shared" si="19"/>
        <v>-5.8319039451115717E-3</v>
      </c>
      <c r="E590" s="81"/>
      <c r="F590" s="82"/>
      <c r="G590" s="81">
        <v>43629</v>
      </c>
      <c r="H590" s="82">
        <v>272.49</v>
      </c>
      <c r="I590" s="166">
        <f t="shared" si="18"/>
        <v>3.9792196308168215E-3</v>
      </c>
    </row>
    <row r="591" spans="1:9" ht="18">
      <c r="A591" s="237">
        <v>43662</v>
      </c>
      <c r="B591" s="238">
        <v>87.07</v>
      </c>
      <c r="C591" s="47">
        <f t="shared" si="19"/>
        <v>1.4952841039796994E-3</v>
      </c>
      <c r="E591" s="81"/>
      <c r="F591" s="82"/>
      <c r="G591" s="81">
        <v>43630</v>
      </c>
      <c r="H591" s="82">
        <v>274.97000000000003</v>
      </c>
      <c r="I591" s="166">
        <f t="shared" ref="I591:I654" si="20">H591/H590-1</f>
        <v>9.1012514220705221E-3</v>
      </c>
    </row>
    <row r="592" spans="1:9" ht="18">
      <c r="A592" s="237">
        <v>43663</v>
      </c>
      <c r="B592" s="238">
        <v>87.5</v>
      </c>
      <c r="C592" s="47">
        <f t="shared" si="19"/>
        <v>4.938555185483029E-3</v>
      </c>
      <c r="E592" s="81"/>
      <c r="F592" s="82"/>
      <c r="G592" s="81">
        <v>43631</v>
      </c>
      <c r="H592" s="82">
        <v>276.52</v>
      </c>
      <c r="I592" s="166">
        <f t="shared" si="20"/>
        <v>5.6369785794812E-3</v>
      </c>
    </row>
    <row r="593" spans="1:9" ht="18">
      <c r="A593" s="237">
        <v>43664</v>
      </c>
      <c r="B593" s="238">
        <v>87.26</v>
      </c>
      <c r="C593" s="47">
        <f t="shared" si="19"/>
        <v>-2.742857142857047E-3</v>
      </c>
      <c r="E593" s="81"/>
      <c r="F593" s="82"/>
      <c r="G593" s="81">
        <v>43634</v>
      </c>
      <c r="H593" s="82">
        <v>275.3</v>
      </c>
      <c r="I593" s="166">
        <f t="shared" si="20"/>
        <v>-4.4119774338202689E-3</v>
      </c>
    </row>
    <row r="594" spans="1:9" ht="18">
      <c r="A594" s="237">
        <v>43665</v>
      </c>
      <c r="B594" s="238">
        <v>86.73</v>
      </c>
      <c r="C594" s="47">
        <f t="shared" si="19"/>
        <v>-6.0738024295209359E-3</v>
      </c>
      <c r="E594" s="81"/>
      <c r="F594" s="82"/>
      <c r="G594" s="81">
        <v>43635</v>
      </c>
      <c r="H594" s="82">
        <v>272.67</v>
      </c>
      <c r="I594" s="166">
        <f t="shared" si="20"/>
        <v>-9.5532146749001123E-3</v>
      </c>
    </row>
    <row r="595" spans="1:9" ht="18">
      <c r="A595" s="237">
        <v>43666</v>
      </c>
      <c r="B595" s="238">
        <v>87</v>
      </c>
      <c r="C595" s="47">
        <f t="shared" si="19"/>
        <v>3.1131096506398226E-3</v>
      </c>
      <c r="E595" s="81"/>
      <c r="F595" s="82"/>
      <c r="G595" s="81">
        <v>43636</v>
      </c>
      <c r="H595" s="82">
        <v>271.08</v>
      </c>
      <c r="I595" s="166">
        <f t="shared" si="20"/>
        <v>-5.831224557157122E-3</v>
      </c>
    </row>
    <row r="596" spans="1:9" ht="18">
      <c r="A596" s="237">
        <v>43669</v>
      </c>
      <c r="B596" s="238">
        <v>87.17</v>
      </c>
      <c r="C596" s="47">
        <f t="shared" si="19"/>
        <v>1.9540229885057769E-3</v>
      </c>
      <c r="E596" s="81"/>
      <c r="F596" s="82"/>
      <c r="G596" s="81">
        <v>43637</v>
      </c>
      <c r="H596" s="82">
        <v>270</v>
      </c>
      <c r="I596" s="166">
        <f t="shared" si="20"/>
        <v>-3.9840637450199168E-3</v>
      </c>
    </row>
    <row r="597" spans="1:9" ht="18">
      <c r="A597" s="237">
        <v>43670</v>
      </c>
      <c r="B597" s="238">
        <v>87.06</v>
      </c>
      <c r="C597" s="47">
        <f t="shared" si="19"/>
        <v>-1.2619020305151274E-3</v>
      </c>
      <c r="E597" s="81"/>
      <c r="F597" s="82"/>
      <c r="G597" s="81">
        <v>43638</v>
      </c>
      <c r="H597" s="82">
        <v>267.77</v>
      </c>
      <c r="I597" s="166">
        <f t="shared" si="20"/>
        <v>-8.2592592592592995E-3</v>
      </c>
    </row>
    <row r="598" spans="1:9" ht="18">
      <c r="A598" s="237">
        <v>43671</v>
      </c>
      <c r="B598" s="238">
        <v>87.34</v>
      </c>
      <c r="C598" s="47">
        <f t="shared" si="19"/>
        <v>3.2161727544222085E-3</v>
      </c>
      <c r="E598" s="81"/>
      <c r="F598" s="82"/>
      <c r="G598" s="81">
        <v>43641</v>
      </c>
      <c r="H598" s="82">
        <v>266.77999999999997</v>
      </c>
      <c r="I598" s="166">
        <f t="shared" si="20"/>
        <v>-3.697202823318535E-3</v>
      </c>
    </row>
    <row r="599" spans="1:9" ht="18">
      <c r="A599" s="237">
        <v>43672</v>
      </c>
      <c r="B599" s="238">
        <v>86.51</v>
      </c>
      <c r="C599" s="47">
        <f t="shared" ref="C599:C662" si="21">B599/B598-1</f>
        <v>-9.5030913670711703E-3</v>
      </c>
      <c r="E599" s="81"/>
      <c r="F599" s="82"/>
      <c r="G599" s="81">
        <v>43642</v>
      </c>
      <c r="H599" s="82">
        <v>268.27</v>
      </c>
      <c r="I599" s="166">
        <f t="shared" si="20"/>
        <v>5.5851263213135827E-3</v>
      </c>
    </row>
    <row r="600" spans="1:9" ht="18">
      <c r="A600" s="237">
        <v>43673</v>
      </c>
      <c r="B600" s="238">
        <v>87.56</v>
      </c>
      <c r="C600" s="47">
        <f t="shared" si="21"/>
        <v>1.2137325164720769E-2</v>
      </c>
      <c r="E600" s="81"/>
      <c r="F600" s="82"/>
      <c r="G600" s="81">
        <v>43643</v>
      </c>
      <c r="H600" s="82">
        <v>267.87</v>
      </c>
      <c r="I600" s="166">
        <f t="shared" si="20"/>
        <v>-1.4910351511535636E-3</v>
      </c>
    </row>
    <row r="601" spans="1:9" ht="18">
      <c r="A601" s="237">
        <v>43676</v>
      </c>
      <c r="B601" s="238">
        <v>87.68</v>
      </c>
      <c r="C601" s="47">
        <f t="shared" si="21"/>
        <v>1.3704888076748745E-3</v>
      </c>
      <c r="E601" s="81"/>
      <c r="F601" s="82"/>
      <c r="G601" s="81">
        <v>43644</v>
      </c>
      <c r="H601" s="82">
        <v>267.24</v>
      </c>
      <c r="I601" s="166">
        <f t="shared" si="20"/>
        <v>-2.3518871094186933E-3</v>
      </c>
    </row>
    <row r="602" spans="1:9" ht="18">
      <c r="A602" s="237">
        <v>43677</v>
      </c>
      <c r="B602" s="238">
        <v>86.46</v>
      </c>
      <c r="C602" s="47">
        <f t="shared" si="21"/>
        <v>-1.3914233576642454E-2</v>
      </c>
      <c r="E602" s="81"/>
      <c r="F602" s="82"/>
      <c r="G602" s="81">
        <v>43645</v>
      </c>
      <c r="H602" s="82">
        <v>268.13</v>
      </c>
      <c r="I602" s="166">
        <f t="shared" si="20"/>
        <v>3.3303397694954828E-3</v>
      </c>
    </row>
    <row r="603" spans="1:9" ht="18">
      <c r="A603" s="237">
        <v>43678</v>
      </c>
      <c r="B603" s="238">
        <v>85.84</v>
      </c>
      <c r="C603" s="47">
        <f t="shared" si="21"/>
        <v>-7.1709461022436694E-3</v>
      </c>
      <c r="E603" s="81"/>
      <c r="F603" s="82"/>
      <c r="G603" s="81">
        <v>43648</v>
      </c>
      <c r="H603" s="82">
        <v>271.83</v>
      </c>
      <c r="I603" s="166">
        <f t="shared" si="20"/>
        <v>1.3799276470368715E-2</v>
      </c>
    </row>
    <row r="604" spans="1:9" ht="18">
      <c r="A604" s="237">
        <v>43679</v>
      </c>
      <c r="B604" s="238">
        <v>85.11</v>
      </c>
      <c r="C604" s="47">
        <f t="shared" si="21"/>
        <v>-8.5041938490214575E-3</v>
      </c>
      <c r="E604" s="81"/>
      <c r="F604" s="82"/>
      <c r="G604" s="81">
        <v>43649</v>
      </c>
      <c r="H604" s="82">
        <v>272.62</v>
      </c>
      <c r="I604" s="166">
        <f t="shared" si="20"/>
        <v>2.9062281573042359E-3</v>
      </c>
    </row>
    <row r="605" spans="1:9" ht="18">
      <c r="A605" s="237">
        <v>43680</v>
      </c>
      <c r="B605" s="238">
        <v>86.24</v>
      </c>
      <c r="C605" s="47">
        <f t="shared" si="21"/>
        <v>1.3276935730231365E-2</v>
      </c>
      <c r="E605" s="81"/>
      <c r="F605" s="82"/>
      <c r="G605" s="81">
        <v>43650</v>
      </c>
      <c r="H605" s="82">
        <v>270.79000000000002</v>
      </c>
      <c r="I605" s="166">
        <f t="shared" si="20"/>
        <v>-6.7126403051867012E-3</v>
      </c>
    </row>
    <row r="606" spans="1:9" ht="18">
      <c r="A606" s="237">
        <v>43683</v>
      </c>
      <c r="B606" s="238">
        <v>85.96</v>
      </c>
      <c r="C606" s="47">
        <f t="shared" si="21"/>
        <v>-3.2467532467532756E-3</v>
      </c>
      <c r="E606" s="81"/>
      <c r="F606" s="82"/>
      <c r="G606" s="81">
        <v>43651</v>
      </c>
      <c r="H606" s="82">
        <v>266.88</v>
      </c>
      <c r="I606" s="166">
        <f t="shared" si="20"/>
        <v>-1.4439233354259895E-2</v>
      </c>
    </row>
    <row r="607" spans="1:9" ht="18">
      <c r="A607" s="237">
        <v>43684</v>
      </c>
      <c r="B607" s="238">
        <v>86.18</v>
      </c>
      <c r="C607" s="47">
        <f t="shared" si="21"/>
        <v>2.5593299208936937E-3</v>
      </c>
      <c r="E607" s="81"/>
      <c r="F607" s="82"/>
      <c r="G607" s="81">
        <v>43652</v>
      </c>
      <c r="H607" s="82">
        <v>266.27</v>
      </c>
      <c r="I607" s="166">
        <f t="shared" si="20"/>
        <v>-2.2856714628297636E-3</v>
      </c>
    </row>
    <row r="608" spans="1:9" ht="18">
      <c r="A608" s="237">
        <v>43685</v>
      </c>
      <c r="B608" s="238">
        <v>86.36</v>
      </c>
      <c r="C608" s="47">
        <f t="shared" si="21"/>
        <v>2.0886516593177085E-3</v>
      </c>
      <c r="E608" s="81"/>
      <c r="F608" s="82"/>
      <c r="G608" s="81">
        <v>43655</v>
      </c>
      <c r="H608" s="82">
        <v>266.64999999999998</v>
      </c>
      <c r="I608" s="166">
        <f t="shared" si="20"/>
        <v>1.4271228452322759E-3</v>
      </c>
    </row>
    <row r="609" spans="1:9" ht="18">
      <c r="A609" s="237">
        <v>43686</v>
      </c>
      <c r="B609" s="238">
        <v>86.03</v>
      </c>
      <c r="C609" s="47">
        <f t="shared" si="21"/>
        <v>-3.8212135247799317E-3</v>
      </c>
      <c r="E609" s="81"/>
      <c r="F609" s="82"/>
      <c r="G609" s="81">
        <v>43656</v>
      </c>
      <c r="H609" s="82">
        <v>269.35000000000002</v>
      </c>
      <c r="I609" s="166">
        <f t="shared" si="20"/>
        <v>1.0125632852053368E-2</v>
      </c>
    </row>
    <row r="610" spans="1:9" ht="18">
      <c r="A610" s="237">
        <v>43687</v>
      </c>
      <c r="B610" s="238">
        <v>85.83</v>
      </c>
      <c r="C610" s="47">
        <f t="shared" si="21"/>
        <v>-2.3247704289202087E-3</v>
      </c>
      <c r="E610" s="81"/>
      <c r="F610" s="82"/>
      <c r="G610" s="81">
        <v>43657</v>
      </c>
      <c r="H610" s="82">
        <v>271.79000000000002</v>
      </c>
      <c r="I610" s="166">
        <f t="shared" si="20"/>
        <v>9.0588453684796733E-3</v>
      </c>
    </row>
    <row r="611" spans="1:9" ht="18">
      <c r="A611" s="237">
        <v>43690</v>
      </c>
      <c r="B611" s="238">
        <v>85.14</v>
      </c>
      <c r="C611" s="47">
        <f t="shared" si="21"/>
        <v>-8.0391471513456825E-3</v>
      </c>
      <c r="E611" s="81"/>
      <c r="F611" s="82"/>
      <c r="G611" s="81">
        <v>43658</v>
      </c>
      <c r="H611" s="82">
        <v>275.27</v>
      </c>
      <c r="I611" s="166">
        <f t="shared" si="20"/>
        <v>1.2804003090621352E-2</v>
      </c>
    </row>
    <row r="612" spans="1:9" ht="18">
      <c r="A612" s="237">
        <v>43691</v>
      </c>
      <c r="B612" s="238">
        <v>84.42</v>
      </c>
      <c r="C612" s="47">
        <f t="shared" si="21"/>
        <v>-8.4566596194503019E-3</v>
      </c>
      <c r="E612" s="81"/>
      <c r="F612" s="82"/>
      <c r="G612" s="81">
        <v>43659</v>
      </c>
      <c r="H612" s="82">
        <v>276.8</v>
      </c>
      <c r="I612" s="166">
        <f t="shared" si="20"/>
        <v>5.5581792421985909E-3</v>
      </c>
    </row>
    <row r="613" spans="1:9" ht="18">
      <c r="A613" s="237">
        <v>43692</v>
      </c>
      <c r="B613" s="238">
        <v>84.26</v>
      </c>
      <c r="C613" s="47">
        <f t="shared" si="21"/>
        <v>-1.8952854773749417E-3</v>
      </c>
      <c r="E613" s="81"/>
      <c r="F613" s="82"/>
      <c r="G613" s="81">
        <v>43662</v>
      </c>
      <c r="H613" s="82">
        <v>277.06</v>
      </c>
      <c r="I613" s="166">
        <f t="shared" si="20"/>
        <v>9.3930635838157528E-4</v>
      </c>
    </row>
    <row r="614" spans="1:9" ht="18">
      <c r="A614" s="237">
        <v>43693</v>
      </c>
      <c r="B614" s="238">
        <v>84.19</v>
      </c>
      <c r="C614" s="47">
        <f t="shared" si="21"/>
        <v>-8.3076192736775134E-4</v>
      </c>
      <c r="E614" s="81"/>
      <c r="F614" s="82"/>
      <c r="G614" s="81">
        <v>43663</v>
      </c>
      <c r="H614" s="82">
        <v>275.45</v>
      </c>
      <c r="I614" s="166">
        <f t="shared" si="20"/>
        <v>-5.8110156644770594E-3</v>
      </c>
    </row>
    <row r="615" spans="1:9" ht="18">
      <c r="A615" s="237">
        <v>43694</v>
      </c>
      <c r="B615" s="238">
        <v>84.17</v>
      </c>
      <c r="C615" s="47">
        <f t="shared" si="21"/>
        <v>-2.3755790473922733E-4</v>
      </c>
      <c r="E615" s="81"/>
      <c r="F615" s="82"/>
      <c r="G615" s="81">
        <v>43664</v>
      </c>
      <c r="H615" s="82">
        <v>274.85000000000002</v>
      </c>
      <c r="I615" s="166">
        <f t="shared" si="20"/>
        <v>-2.1782537665636648E-3</v>
      </c>
    </row>
    <row r="616" spans="1:9" ht="18">
      <c r="A616" s="237">
        <v>43697</v>
      </c>
      <c r="B616" s="238">
        <v>83.75</v>
      </c>
      <c r="C616" s="47">
        <f t="shared" si="21"/>
        <v>-4.9899013900439604E-3</v>
      </c>
      <c r="E616" s="81"/>
      <c r="F616" s="82"/>
      <c r="G616" s="81">
        <v>43665</v>
      </c>
      <c r="H616" s="82">
        <v>274.93</v>
      </c>
      <c r="I616" s="166">
        <f t="shared" si="20"/>
        <v>2.9106785519372735E-4</v>
      </c>
    </row>
    <row r="617" spans="1:9" ht="18">
      <c r="A617" s="237">
        <v>43698</v>
      </c>
      <c r="B617" s="238">
        <v>83.98</v>
      </c>
      <c r="C617" s="47">
        <f t="shared" si="21"/>
        <v>2.7462686567165662E-3</v>
      </c>
      <c r="E617" s="81"/>
      <c r="F617" s="82"/>
      <c r="G617" s="81">
        <v>43666</v>
      </c>
      <c r="H617" s="82">
        <v>274.45999999999998</v>
      </c>
      <c r="I617" s="166">
        <f t="shared" si="20"/>
        <v>-1.7095260611793561E-3</v>
      </c>
    </row>
    <row r="618" spans="1:9" ht="18">
      <c r="A618" s="237">
        <v>43699</v>
      </c>
      <c r="B618" s="238">
        <v>85.33</v>
      </c>
      <c r="C618" s="47">
        <f t="shared" si="21"/>
        <v>1.607525601333637E-2</v>
      </c>
      <c r="E618" s="81"/>
      <c r="F618" s="82"/>
      <c r="G618" s="81">
        <v>43669</v>
      </c>
      <c r="H618" s="82">
        <v>273.87</v>
      </c>
      <c r="I618" s="166">
        <f t="shared" si="20"/>
        <v>-2.149675726881739E-3</v>
      </c>
    </row>
    <row r="619" spans="1:9" ht="18">
      <c r="A619" s="237">
        <v>43700</v>
      </c>
      <c r="B619" s="238">
        <v>84.75</v>
      </c>
      <c r="C619" s="47">
        <f t="shared" si="21"/>
        <v>-6.7971405133012697E-3</v>
      </c>
      <c r="E619" s="81"/>
      <c r="F619" s="82"/>
      <c r="G619" s="81">
        <v>43670</v>
      </c>
      <c r="H619" s="82">
        <v>278.67</v>
      </c>
      <c r="I619" s="166">
        <f t="shared" si="20"/>
        <v>1.7526563698105013E-2</v>
      </c>
    </row>
    <row r="620" spans="1:9" ht="18">
      <c r="A620" s="237">
        <v>43701</v>
      </c>
      <c r="B620" s="238">
        <v>84.88</v>
      </c>
      <c r="C620" s="47">
        <f t="shared" si="21"/>
        <v>1.5339233038347277E-3</v>
      </c>
      <c r="E620" s="81"/>
      <c r="F620" s="82"/>
      <c r="G620" s="81">
        <v>43671</v>
      </c>
      <c r="H620" s="82">
        <v>278.95999999999998</v>
      </c>
      <c r="I620" s="166">
        <f t="shared" si="20"/>
        <v>1.0406574084040887E-3</v>
      </c>
    </row>
    <row r="621" spans="1:9" ht="18">
      <c r="A621" s="237">
        <v>43704</v>
      </c>
      <c r="B621" s="238">
        <v>85.15</v>
      </c>
      <c r="C621" s="47">
        <f t="shared" si="21"/>
        <v>3.1809613572102435E-3</v>
      </c>
      <c r="E621" s="81"/>
      <c r="F621" s="82"/>
      <c r="G621" s="81">
        <v>43672</v>
      </c>
      <c r="H621" s="82">
        <v>279.7</v>
      </c>
      <c r="I621" s="166">
        <f t="shared" si="20"/>
        <v>2.6527100659592406E-3</v>
      </c>
    </row>
    <row r="622" spans="1:9" ht="18">
      <c r="A622" s="237">
        <v>43705</v>
      </c>
      <c r="B622" s="238">
        <v>86.03</v>
      </c>
      <c r="C622" s="47">
        <f t="shared" si="21"/>
        <v>1.0334703464474293E-2</v>
      </c>
      <c r="E622" s="81"/>
      <c r="F622" s="82"/>
      <c r="G622" s="81">
        <v>43673</v>
      </c>
      <c r="H622" s="82">
        <v>281.95999999999998</v>
      </c>
      <c r="I622" s="166">
        <f t="shared" si="20"/>
        <v>8.0800858062208825E-3</v>
      </c>
    </row>
    <row r="623" spans="1:9" ht="18">
      <c r="A623" s="237">
        <v>43706</v>
      </c>
      <c r="B623" s="238">
        <v>85.8</v>
      </c>
      <c r="C623" s="47">
        <f t="shared" si="21"/>
        <v>-2.6734859932582289E-3</v>
      </c>
      <c r="E623" s="81"/>
      <c r="F623" s="82"/>
      <c r="G623" s="81">
        <v>43676</v>
      </c>
      <c r="H623" s="82">
        <v>283.04000000000002</v>
      </c>
      <c r="I623" s="166">
        <f t="shared" si="20"/>
        <v>3.8303305433395884E-3</v>
      </c>
    </row>
    <row r="624" spans="1:9" ht="18">
      <c r="A624" s="237">
        <v>43707</v>
      </c>
      <c r="B624" s="238">
        <v>85.72</v>
      </c>
      <c r="C624" s="47">
        <f t="shared" si="21"/>
        <v>-9.3240093240087862E-4</v>
      </c>
      <c r="E624" s="81"/>
      <c r="F624" s="82"/>
      <c r="G624" s="81">
        <v>43677</v>
      </c>
      <c r="H624" s="82">
        <v>281.66000000000003</v>
      </c>
      <c r="I624" s="166">
        <f t="shared" si="20"/>
        <v>-4.8756359525155002E-3</v>
      </c>
    </row>
    <row r="625" spans="1:9" ht="18">
      <c r="A625" s="237">
        <v>43708</v>
      </c>
      <c r="B625" s="238">
        <v>85.15</v>
      </c>
      <c r="C625" s="47">
        <f t="shared" si="21"/>
        <v>-6.649556696220138E-3</v>
      </c>
      <c r="E625" s="81"/>
      <c r="F625" s="82"/>
      <c r="G625" s="81">
        <v>43678</v>
      </c>
      <c r="H625" s="82">
        <v>276.19</v>
      </c>
      <c r="I625" s="166">
        <f t="shared" si="20"/>
        <v>-1.9420578001846267E-2</v>
      </c>
    </row>
    <row r="626" spans="1:9" ht="18">
      <c r="A626" s="237">
        <v>43712</v>
      </c>
      <c r="B626" s="238">
        <v>84.32</v>
      </c>
      <c r="C626" s="47">
        <f t="shared" si="21"/>
        <v>-9.7475044039930792E-3</v>
      </c>
      <c r="E626" s="81"/>
      <c r="F626" s="82"/>
      <c r="G626" s="81">
        <v>43679</v>
      </c>
      <c r="H626" s="82">
        <v>275.31</v>
      </c>
      <c r="I626" s="166">
        <f t="shared" si="20"/>
        <v>-3.1862123900213701E-3</v>
      </c>
    </row>
    <row r="627" spans="1:9" ht="18">
      <c r="A627" s="237">
        <v>43713</v>
      </c>
      <c r="B627" s="238">
        <v>84.19</v>
      </c>
      <c r="C627" s="47">
        <f t="shared" si="21"/>
        <v>-1.5417457305502147E-3</v>
      </c>
      <c r="E627" s="81"/>
      <c r="F627" s="82"/>
      <c r="G627" s="81">
        <v>43680</v>
      </c>
      <c r="H627" s="82">
        <v>276.54000000000002</v>
      </c>
      <c r="I627" s="166">
        <f t="shared" si="20"/>
        <v>4.4676909665468667E-3</v>
      </c>
    </row>
    <row r="628" spans="1:9" ht="18">
      <c r="A628" s="237">
        <v>43714</v>
      </c>
      <c r="B628" s="238">
        <v>84.64</v>
      </c>
      <c r="C628" s="47">
        <f t="shared" si="21"/>
        <v>5.3450528566338917E-3</v>
      </c>
      <c r="E628" s="81"/>
      <c r="F628" s="82"/>
      <c r="G628" s="81">
        <v>43683</v>
      </c>
      <c r="H628" s="82">
        <v>276.24</v>
      </c>
      <c r="I628" s="166">
        <f t="shared" si="20"/>
        <v>-1.0848340203949425E-3</v>
      </c>
    </row>
    <row r="629" spans="1:9" ht="18">
      <c r="A629" s="237">
        <v>43715</v>
      </c>
      <c r="B629" s="238">
        <v>84.71</v>
      </c>
      <c r="C629" s="47">
        <f t="shared" si="21"/>
        <v>8.270321361056876E-4</v>
      </c>
      <c r="E629" s="81"/>
      <c r="F629" s="82"/>
      <c r="G629" s="81">
        <v>43684</v>
      </c>
      <c r="H629" s="82">
        <v>273.3</v>
      </c>
      <c r="I629" s="166">
        <f t="shared" si="20"/>
        <v>-1.0642919200695045E-2</v>
      </c>
    </row>
    <row r="630" spans="1:9" ht="18">
      <c r="A630" s="237">
        <v>43718</v>
      </c>
      <c r="B630" s="238">
        <v>84.58</v>
      </c>
      <c r="C630" s="47">
        <f t="shared" si="21"/>
        <v>-1.5346476212961813E-3</v>
      </c>
      <c r="E630" s="81"/>
      <c r="F630" s="82"/>
      <c r="G630" s="81">
        <v>43685</v>
      </c>
      <c r="H630" s="82">
        <v>274.14</v>
      </c>
      <c r="I630" s="166">
        <f t="shared" si="20"/>
        <v>3.0735455543358103E-3</v>
      </c>
    </row>
    <row r="631" spans="1:9" ht="18">
      <c r="A631" s="237">
        <v>43719</v>
      </c>
      <c r="B631" s="238">
        <v>84.64</v>
      </c>
      <c r="C631" s="47">
        <f t="shared" si="21"/>
        <v>7.0938756207139519E-4</v>
      </c>
      <c r="E631" s="81"/>
      <c r="F631" s="82"/>
      <c r="G631" s="81">
        <v>43686</v>
      </c>
      <c r="H631" s="82">
        <v>274.06</v>
      </c>
      <c r="I631" s="166">
        <f t="shared" si="20"/>
        <v>-2.9182169694308424E-4</v>
      </c>
    </row>
    <row r="632" spans="1:9" ht="18">
      <c r="A632" s="237">
        <v>43720</v>
      </c>
      <c r="B632" s="238">
        <v>84.69</v>
      </c>
      <c r="C632" s="47">
        <f t="shared" si="21"/>
        <v>5.9073724007552286E-4</v>
      </c>
      <c r="E632" s="81"/>
      <c r="F632" s="82"/>
      <c r="G632" s="81">
        <v>43687</v>
      </c>
      <c r="H632" s="82">
        <v>271.55</v>
      </c>
      <c r="I632" s="166">
        <f t="shared" si="20"/>
        <v>-9.158578413486107E-3</v>
      </c>
    </row>
    <row r="633" spans="1:9" ht="18">
      <c r="A633" s="237">
        <v>43721</v>
      </c>
      <c r="B633" s="238">
        <v>84.72</v>
      </c>
      <c r="C633" s="47">
        <f t="shared" si="21"/>
        <v>3.5423308537008147E-4</v>
      </c>
      <c r="E633" s="81"/>
      <c r="F633" s="82"/>
      <c r="G633" s="81">
        <v>43690</v>
      </c>
      <c r="H633" s="82">
        <v>268.61</v>
      </c>
      <c r="I633" s="166">
        <f t="shared" si="20"/>
        <v>-1.0826735407843846E-2</v>
      </c>
    </row>
    <row r="634" spans="1:9" ht="18">
      <c r="A634" s="237">
        <v>43722</v>
      </c>
      <c r="B634" s="238">
        <v>84.44</v>
      </c>
      <c r="C634" s="47">
        <f t="shared" si="21"/>
        <v>-3.3050047214353562E-3</v>
      </c>
      <c r="E634" s="81"/>
      <c r="F634" s="82"/>
      <c r="G634" s="81">
        <v>43691</v>
      </c>
      <c r="H634" s="82">
        <v>267.47000000000003</v>
      </c>
      <c r="I634" s="166">
        <f t="shared" si="20"/>
        <v>-4.2440713301812316E-3</v>
      </c>
    </row>
    <row r="635" spans="1:9" ht="18">
      <c r="A635" s="237">
        <v>43725</v>
      </c>
      <c r="B635" s="238">
        <v>84.49</v>
      </c>
      <c r="C635" s="47">
        <f t="shared" si="21"/>
        <v>5.9213642823308099E-4</v>
      </c>
      <c r="E635" s="81"/>
      <c r="F635" s="82"/>
      <c r="G635" s="81">
        <v>43692</v>
      </c>
      <c r="H635" s="82">
        <v>266.51</v>
      </c>
      <c r="I635" s="166">
        <f t="shared" si="20"/>
        <v>-3.5891875724382016E-3</v>
      </c>
    </row>
    <row r="636" spans="1:9" ht="18">
      <c r="A636" s="237">
        <v>43726</v>
      </c>
      <c r="B636" s="238">
        <v>84.39</v>
      </c>
      <c r="C636" s="47">
        <f t="shared" si="21"/>
        <v>-1.1835720203573485E-3</v>
      </c>
      <c r="E636" s="81"/>
      <c r="F636" s="82"/>
      <c r="G636" s="81">
        <v>43693</v>
      </c>
      <c r="H636" s="82">
        <v>266.16000000000003</v>
      </c>
      <c r="I636" s="166">
        <f t="shared" si="20"/>
        <v>-1.3132715470337564E-3</v>
      </c>
    </row>
    <row r="637" spans="1:9" ht="18">
      <c r="A637" s="237">
        <v>43727</v>
      </c>
      <c r="B637" s="238">
        <v>84.32</v>
      </c>
      <c r="C637" s="47">
        <f t="shared" si="21"/>
        <v>-8.2948216613354386E-4</v>
      </c>
      <c r="E637" s="81"/>
      <c r="F637" s="82"/>
      <c r="G637" s="81">
        <v>43694</v>
      </c>
      <c r="H637" s="82">
        <v>263.7</v>
      </c>
      <c r="I637" s="166">
        <f t="shared" si="20"/>
        <v>-9.2425608656448999E-3</v>
      </c>
    </row>
    <row r="638" spans="1:9" ht="18">
      <c r="A638" s="237">
        <v>43728</v>
      </c>
      <c r="B638" s="238">
        <v>83.47</v>
      </c>
      <c r="C638" s="47">
        <f t="shared" si="21"/>
        <v>-1.0080645161290258E-2</v>
      </c>
      <c r="E638" s="81"/>
      <c r="F638" s="82"/>
      <c r="G638" s="81">
        <v>43697</v>
      </c>
      <c r="H638" s="82">
        <v>262.63</v>
      </c>
      <c r="I638" s="166">
        <f t="shared" si="20"/>
        <v>-4.0576412590064281E-3</v>
      </c>
    </row>
    <row r="639" spans="1:9" ht="18">
      <c r="A639" s="237">
        <v>43729</v>
      </c>
      <c r="B639" s="238">
        <v>83.81</v>
      </c>
      <c r="C639" s="47">
        <f t="shared" si="21"/>
        <v>4.0733197556008793E-3</v>
      </c>
      <c r="E639" s="81"/>
      <c r="F639" s="82"/>
      <c r="G639" s="81">
        <v>43698</v>
      </c>
      <c r="H639" s="82">
        <v>264.44</v>
      </c>
      <c r="I639" s="166">
        <f t="shared" si="20"/>
        <v>6.8918250009519788E-3</v>
      </c>
    </row>
    <row r="640" spans="1:9" ht="18">
      <c r="A640" s="237">
        <v>43732</v>
      </c>
      <c r="B640" s="238">
        <v>83.33</v>
      </c>
      <c r="C640" s="47">
        <f t="shared" si="21"/>
        <v>-5.7272401861353517E-3</v>
      </c>
      <c r="E640" s="81"/>
      <c r="F640" s="82"/>
      <c r="G640" s="81">
        <v>43699</v>
      </c>
      <c r="H640" s="82">
        <v>265.56</v>
      </c>
      <c r="I640" s="166">
        <f t="shared" si="20"/>
        <v>4.2353653002571434E-3</v>
      </c>
    </row>
    <row r="641" spans="1:9" ht="18">
      <c r="A641" s="237">
        <v>43733</v>
      </c>
      <c r="B641" s="238">
        <v>82.78</v>
      </c>
      <c r="C641" s="47">
        <f t="shared" si="21"/>
        <v>-6.6002640105603527E-3</v>
      </c>
      <c r="E641" s="81"/>
      <c r="F641" s="82"/>
      <c r="G641" s="81">
        <v>43700</v>
      </c>
      <c r="H641" s="82">
        <v>267.77999999999997</v>
      </c>
      <c r="I641" s="166">
        <f t="shared" si="20"/>
        <v>8.3596927248077435E-3</v>
      </c>
    </row>
    <row r="642" spans="1:9" ht="18">
      <c r="A642" s="237">
        <v>43734</v>
      </c>
      <c r="B642" s="238">
        <v>82.42</v>
      </c>
      <c r="C642" s="47">
        <f t="shared" si="21"/>
        <v>-4.3488765402270868E-3</v>
      </c>
      <c r="E642" s="81"/>
      <c r="F642" s="82"/>
      <c r="G642" s="81">
        <v>43701</v>
      </c>
      <c r="H642" s="82">
        <v>265.19</v>
      </c>
      <c r="I642" s="166">
        <f t="shared" si="20"/>
        <v>-9.6721189035774424E-3</v>
      </c>
    </row>
    <row r="643" spans="1:9" ht="18">
      <c r="A643" s="237">
        <v>43735</v>
      </c>
      <c r="B643" s="238">
        <v>82.61</v>
      </c>
      <c r="C643" s="47">
        <f t="shared" si="21"/>
        <v>2.3052657122057951E-3</v>
      </c>
      <c r="E643" s="81"/>
      <c r="F643" s="82"/>
      <c r="G643" s="81">
        <v>43704</v>
      </c>
      <c r="H643" s="82">
        <v>266.92</v>
      </c>
      <c r="I643" s="166">
        <f t="shared" si="20"/>
        <v>6.5236245710622587E-3</v>
      </c>
    </row>
    <row r="644" spans="1:9" ht="18">
      <c r="A644" s="237">
        <v>43736</v>
      </c>
      <c r="B644" s="238">
        <v>82.52</v>
      </c>
      <c r="C644" s="47">
        <f t="shared" si="21"/>
        <v>-1.0894564822661046E-3</v>
      </c>
      <c r="E644" s="81"/>
      <c r="F644" s="82"/>
      <c r="G644" s="81">
        <v>43705</v>
      </c>
      <c r="H644" s="82">
        <v>269.68</v>
      </c>
      <c r="I644" s="166">
        <f t="shared" si="20"/>
        <v>1.0340176832009496E-2</v>
      </c>
    </row>
    <row r="645" spans="1:9" ht="18">
      <c r="A645" s="237">
        <v>43739</v>
      </c>
      <c r="B645" s="238">
        <v>81.27</v>
      </c>
      <c r="C645" s="47">
        <f t="shared" si="21"/>
        <v>-1.5147842947164314E-2</v>
      </c>
      <c r="E645" s="81"/>
      <c r="F645" s="82"/>
      <c r="G645" s="81">
        <v>43706</v>
      </c>
      <c r="H645" s="82">
        <v>269.99</v>
      </c>
      <c r="I645" s="166">
        <f t="shared" si="20"/>
        <v>1.1495105309997644E-3</v>
      </c>
    </row>
    <row r="646" spans="1:9" ht="18">
      <c r="A646" s="237">
        <v>43740</v>
      </c>
      <c r="B646" s="238">
        <v>80.36</v>
      </c>
      <c r="C646" s="47">
        <f t="shared" si="21"/>
        <v>-1.1197243755383224E-2</v>
      </c>
      <c r="E646" s="81"/>
      <c r="F646" s="82"/>
      <c r="G646" s="81">
        <v>43707</v>
      </c>
      <c r="H646" s="82">
        <v>267.94</v>
      </c>
      <c r="I646" s="166">
        <f t="shared" si="20"/>
        <v>-7.5928738101411763E-3</v>
      </c>
    </row>
    <row r="647" spans="1:9" ht="18">
      <c r="A647" s="237">
        <v>43741</v>
      </c>
      <c r="B647" s="238">
        <v>80.739999999999995</v>
      </c>
      <c r="C647" s="47">
        <f t="shared" si="21"/>
        <v>4.7287207565953615E-3</v>
      </c>
      <c r="E647" s="81"/>
      <c r="F647" s="82"/>
      <c r="G647" s="81">
        <v>43708</v>
      </c>
      <c r="H647" s="82">
        <v>269.08</v>
      </c>
      <c r="I647" s="166">
        <f t="shared" si="20"/>
        <v>4.2546838844517154E-3</v>
      </c>
    </row>
    <row r="648" spans="1:9" ht="18">
      <c r="A648" s="237">
        <v>43742</v>
      </c>
      <c r="B648" s="238">
        <v>80.709999999999994</v>
      </c>
      <c r="C648" s="47">
        <f t="shared" si="21"/>
        <v>-3.7156304186281019E-4</v>
      </c>
      <c r="E648" s="81"/>
      <c r="F648" s="82"/>
      <c r="G648" s="81">
        <v>43711</v>
      </c>
      <c r="H648" s="82">
        <v>271.70999999999998</v>
      </c>
      <c r="I648" s="166">
        <f t="shared" si="20"/>
        <v>9.7740448937118085E-3</v>
      </c>
    </row>
    <row r="649" spans="1:9" ht="18">
      <c r="A649" s="237">
        <v>43743</v>
      </c>
      <c r="B649" s="238">
        <v>80.739999999999995</v>
      </c>
      <c r="C649" s="47">
        <f t="shared" si="21"/>
        <v>3.7170115227369571E-4</v>
      </c>
      <c r="E649" s="81"/>
      <c r="F649" s="82"/>
      <c r="G649" s="81">
        <v>43712</v>
      </c>
      <c r="H649" s="82">
        <v>269.5</v>
      </c>
      <c r="I649" s="166">
        <f t="shared" si="20"/>
        <v>-8.1336719296307702E-3</v>
      </c>
    </row>
    <row r="650" spans="1:9" ht="18">
      <c r="A650" s="237">
        <v>43746</v>
      </c>
      <c r="B650" s="238">
        <v>81.14</v>
      </c>
      <c r="C650" s="47">
        <f t="shared" si="21"/>
        <v>4.9541738915037659E-3</v>
      </c>
      <c r="E650" s="81"/>
      <c r="F650" s="82"/>
      <c r="G650" s="81">
        <v>43713</v>
      </c>
      <c r="H650" s="82">
        <v>268.58999999999997</v>
      </c>
      <c r="I650" s="166">
        <f t="shared" si="20"/>
        <v>-3.3766233766234777E-3</v>
      </c>
    </row>
    <row r="651" spans="1:9" ht="18">
      <c r="A651" s="237">
        <v>43747</v>
      </c>
      <c r="B651" s="238">
        <v>81.27</v>
      </c>
      <c r="C651" s="47">
        <f t="shared" si="21"/>
        <v>1.6021690904608477E-3</v>
      </c>
      <c r="E651" s="81"/>
      <c r="F651" s="82"/>
      <c r="G651" s="81">
        <v>43714</v>
      </c>
      <c r="H651" s="82">
        <v>266.77</v>
      </c>
      <c r="I651" s="166">
        <f t="shared" si="20"/>
        <v>-6.7761271826948244E-3</v>
      </c>
    </row>
    <row r="652" spans="1:9" ht="18">
      <c r="A652" s="237">
        <v>43748</v>
      </c>
      <c r="B652" s="238">
        <v>81.93</v>
      </c>
      <c r="C652" s="47">
        <f t="shared" si="21"/>
        <v>8.1210778885199009E-3</v>
      </c>
      <c r="E652" s="81"/>
      <c r="F652" s="82"/>
      <c r="G652" s="81">
        <v>43715</v>
      </c>
      <c r="H652" s="82">
        <v>267.02</v>
      </c>
      <c r="I652" s="166">
        <f t="shared" si="20"/>
        <v>9.3713685946705816E-4</v>
      </c>
    </row>
    <row r="653" spans="1:9" ht="18">
      <c r="A653" s="237">
        <v>43749</v>
      </c>
      <c r="B653" s="238">
        <v>81.069999999999993</v>
      </c>
      <c r="C653" s="47">
        <f t="shared" si="21"/>
        <v>-1.0496765531551544E-2</v>
      </c>
      <c r="E653" s="81"/>
      <c r="F653" s="82"/>
      <c r="G653" s="81">
        <v>43718</v>
      </c>
      <c r="H653" s="82">
        <v>268.08999999999997</v>
      </c>
      <c r="I653" s="166">
        <f t="shared" si="20"/>
        <v>4.0071904726237673E-3</v>
      </c>
    </row>
    <row r="654" spans="1:9" ht="18">
      <c r="A654" s="237">
        <v>43750</v>
      </c>
      <c r="B654" s="238">
        <v>81.3</v>
      </c>
      <c r="C654" s="47">
        <f t="shared" si="21"/>
        <v>2.8370543974343132E-3</v>
      </c>
      <c r="E654" s="81"/>
      <c r="F654" s="82"/>
      <c r="G654" s="81">
        <v>43719</v>
      </c>
      <c r="H654" s="82">
        <v>267.32</v>
      </c>
      <c r="I654" s="166">
        <f t="shared" si="20"/>
        <v>-2.8721697937259538E-3</v>
      </c>
    </row>
    <row r="655" spans="1:9" ht="18">
      <c r="A655" s="237">
        <v>43753</v>
      </c>
      <c r="B655" s="238">
        <v>81.209999999999994</v>
      </c>
      <c r="C655" s="47">
        <f t="shared" si="21"/>
        <v>-1.1070110701107971E-3</v>
      </c>
      <c r="E655" s="81"/>
      <c r="F655" s="82"/>
      <c r="G655" s="81">
        <v>43720</v>
      </c>
      <c r="H655" s="82">
        <v>267.22000000000003</v>
      </c>
      <c r="I655" s="166">
        <f t="shared" ref="I655:I718" si="22">H655/H654-1</f>
        <v>-3.7408349543610608E-4</v>
      </c>
    </row>
    <row r="656" spans="1:9" ht="18">
      <c r="A656" s="237">
        <v>43754</v>
      </c>
      <c r="B656" s="238">
        <v>80.819999999999993</v>
      </c>
      <c r="C656" s="47">
        <f t="shared" si="21"/>
        <v>-4.8023642408570044E-3</v>
      </c>
      <c r="E656" s="81"/>
      <c r="F656" s="82"/>
      <c r="G656" s="81">
        <v>43721</v>
      </c>
      <c r="H656" s="82">
        <v>268.83</v>
      </c>
      <c r="I656" s="166">
        <f t="shared" si="22"/>
        <v>6.0249981288824639E-3</v>
      </c>
    </row>
    <row r="657" spans="1:9" ht="18">
      <c r="A657" s="237">
        <v>43755</v>
      </c>
      <c r="B657" s="238">
        <v>80.3</v>
      </c>
      <c r="C657" s="47">
        <f t="shared" si="21"/>
        <v>-6.434050977480732E-3</v>
      </c>
      <c r="E657" s="81"/>
      <c r="F657" s="82"/>
      <c r="G657" s="81">
        <v>43722</v>
      </c>
      <c r="H657" s="82">
        <v>269.11</v>
      </c>
      <c r="I657" s="166">
        <f t="shared" si="22"/>
        <v>1.0415504222001104E-3</v>
      </c>
    </row>
    <row r="658" spans="1:9" ht="18">
      <c r="A658" s="237">
        <v>43756</v>
      </c>
      <c r="B658" s="238">
        <v>79.709999999999994</v>
      </c>
      <c r="C658" s="47">
        <f t="shared" si="21"/>
        <v>-7.3474470734745667E-3</v>
      </c>
      <c r="E658" s="81"/>
      <c r="F658" s="82"/>
      <c r="G658" s="81">
        <v>43725</v>
      </c>
      <c r="H658" s="82">
        <v>267.07</v>
      </c>
      <c r="I658" s="166">
        <f t="shared" si="22"/>
        <v>-7.5805432722678701E-3</v>
      </c>
    </row>
    <row r="659" spans="1:9" ht="18">
      <c r="A659" s="237">
        <v>43757</v>
      </c>
      <c r="B659" s="238">
        <v>80.150000000000006</v>
      </c>
      <c r="C659" s="47">
        <f t="shared" si="21"/>
        <v>5.5200100363821392E-3</v>
      </c>
      <c r="E659" s="81"/>
      <c r="F659" s="82"/>
      <c r="G659" s="81">
        <v>43726</v>
      </c>
      <c r="H659" s="82">
        <v>266.76</v>
      </c>
      <c r="I659" s="166">
        <f t="shared" si="22"/>
        <v>-1.1607443741341594E-3</v>
      </c>
    </row>
    <row r="660" spans="1:9" ht="18">
      <c r="A660" s="237">
        <v>43760</v>
      </c>
      <c r="B660" s="238">
        <v>80.61</v>
      </c>
      <c r="C660" s="47">
        <f t="shared" si="21"/>
        <v>5.7392389270116695E-3</v>
      </c>
      <c r="E660" s="81"/>
      <c r="F660" s="82"/>
      <c r="G660" s="81">
        <v>43727</v>
      </c>
      <c r="H660" s="82">
        <v>265.62</v>
      </c>
      <c r="I660" s="166">
        <f t="shared" si="22"/>
        <v>-4.2735042735042583E-3</v>
      </c>
    </row>
    <row r="661" spans="1:9" ht="18">
      <c r="A661" s="237">
        <v>43761</v>
      </c>
      <c r="B661" s="238">
        <v>81.25</v>
      </c>
      <c r="C661" s="47">
        <f t="shared" si="21"/>
        <v>7.9394616052599343E-3</v>
      </c>
      <c r="E661" s="81"/>
      <c r="F661" s="82"/>
      <c r="G661" s="81">
        <v>43728</v>
      </c>
      <c r="H661" s="82">
        <v>262.12</v>
      </c>
      <c r="I661" s="166">
        <f t="shared" si="22"/>
        <v>-1.3176718620585781E-2</v>
      </c>
    </row>
    <row r="662" spans="1:9" ht="18">
      <c r="A662" s="237">
        <v>43762</v>
      </c>
      <c r="B662" s="238">
        <v>80.64</v>
      </c>
      <c r="C662" s="47">
        <f t="shared" si="21"/>
        <v>-7.5076923076923263E-3</v>
      </c>
      <c r="E662" s="81"/>
      <c r="F662" s="82"/>
      <c r="G662" s="81">
        <v>43729</v>
      </c>
      <c r="H662" s="82">
        <v>264.29000000000002</v>
      </c>
      <c r="I662" s="166">
        <f t="shared" si="22"/>
        <v>8.2786509995422808E-3</v>
      </c>
    </row>
    <row r="663" spans="1:9" ht="18">
      <c r="A663" s="237">
        <v>43763</v>
      </c>
      <c r="B663" s="238">
        <v>80.959999999999994</v>
      </c>
      <c r="C663" s="47">
        <f t="shared" ref="C663:C726" si="23">B663/B662-1</f>
        <v>3.9682539682539542E-3</v>
      </c>
      <c r="E663" s="81"/>
      <c r="F663" s="82"/>
      <c r="G663" s="81">
        <v>43732</v>
      </c>
      <c r="H663" s="82">
        <v>262.67</v>
      </c>
      <c r="I663" s="166">
        <f t="shared" si="22"/>
        <v>-6.1296303303189914E-3</v>
      </c>
    </row>
    <row r="664" spans="1:9" ht="18">
      <c r="A664" s="237">
        <v>43764</v>
      </c>
      <c r="B664" s="238">
        <v>81</v>
      </c>
      <c r="C664" s="47">
        <f t="shared" si="23"/>
        <v>4.9407114624511195E-4</v>
      </c>
      <c r="E664" s="81"/>
      <c r="F664" s="82"/>
      <c r="G664" s="81">
        <v>43733</v>
      </c>
      <c r="H664" s="82">
        <v>260.52</v>
      </c>
      <c r="I664" s="166">
        <f t="shared" si="22"/>
        <v>-8.1851753150341544E-3</v>
      </c>
    </row>
    <row r="665" spans="1:9" ht="18">
      <c r="A665" s="237">
        <v>43767</v>
      </c>
      <c r="B665" s="238">
        <v>81.209999999999994</v>
      </c>
      <c r="C665" s="47">
        <f t="shared" si="23"/>
        <v>2.5925925925924798E-3</v>
      </c>
      <c r="E665" s="81"/>
      <c r="F665" s="82"/>
      <c r="G665" s="81">
        <v>43734</v>
      </c>
      <c r="H665" s="82">
        <v>260.95999999999998</v>
      </c>
      <c r="I665" s="166">
        <f t="shared" si="22"/>
        <v>1.6889298326423496E-3</v>
      </c>
    </row>
    <row r="666" spans="1:9" ht="18">
      <c r="A666" s="237">
        <v>43768</v>
      </c>
      <c r="B666" s="238">
        <v>81.19</v>
      </c>
      <c r="C666" s="47">
        <f t="shared" si="23"/>
        <v>-2.4627508927466124E-4</v>
      </c>
      <c r="E666" s="81"/>
      <c r="F666" s="82"/>
      <c r="G666" s="81">
        <v>43735</v>
      </c>
      <c r="H666" s="82">
        <v>260.06</v>
      </c>
      <c r="I666" s="166">
        <f t="shared" si="22"/>
        <v>-3.4488044144695973E-3</v>
      </c>
    </row>
    <row r="667" spans="1:9" ht="18">
      <c r="A667" s="237">
        <v>43769</v>
      </c>
      <c r="B667" s="238">
        <v>81.89</v>
      </c>
      <c r="C667" s="47">
        <f t="shared" si="23"/>
        <v>8.6217514472226586E-3</v>
      </c>
      <c r="E667" s="81"/>
      <c r="F667" s="82"/>
      <c r="G667" s="81">
        <v>43736</v>
      </c>
      <c r="H667" s="82">
        <v>262.39999999999998</v>
      </c>
      <c r="I667" s="166">
        <f t="shared" si="22"/>
        <v>8.9979235561024051E-3</v>
      </c>
    </row>
    <row r="668" spans="1:9" ht="18">
      <c r="A668" s="237">
        <v>43770</v>
      </c>
      <c r="B668" s="238">
        <v>82.71</v>
      </c>
      <c r="C668" s="47">
        <f t="shared" si="23"/>
        <v>1.0013432653559473E-2</v>
      </c>
      <c r="E668" s="81"/>
      <c r="F668" s="82"/>
      <c r="G668" s="81">
        <v>43739</v>
      </c>
      <c r="H668" s="82">
        <v>262</v>
      </c>
      <c r="I668" s="166">
        <f t="shared" si="22"/>
        <v>-1.5243902439023849E-3</v>
      </c>
    </row>
    <row r="669" spans="1:9" ht="18">
      <c r="A669" s="237">
        <v>43771</v>
      </c>
      <c r="B669" s="238">
        <v>83.52</v>
      </c>
      <c r="C669" s="47">
        <f t="shared" si="23"/>
        <v>9.7932535364526618E-3</v>
      </c>
      <c r="E669" s="81"/>
      <c r="F669" s="82"/>
      <c r="G669" s="81">
        <v>43740</v>
      </c>
      <c r="H669" s="82">
        <v>258.64</v>
      </c>
      <c r="I669" s="166">
        <f t="shared" si="22"/>
        <v>-1.2824427480916056E-2</v>
      </c>
    </row>
    <row r="670" spans="1:9" ht="18">
      <c r="A670" s="237">
        <v>43774</v>
      </c>
      <c r="B670" s="238">
        <v>82.83</v>
      </c>
      <c r="C670" s="47">
        <f t="shared" si="23"/>
        <v>-8.2614942528735913E-3</v>
      </c>
      <c r="E670" s="81"/>
      <c r="F670" s="82"/>
      <c r="G670" s="81">
        <v>43741</v>
      </c>
      <c r="H670" s="82">
        <v>256.56</v>
      </c>
      <c r="I670" s="166">
        <f t="shared" si="22"/>
        <v>-8.0420661923908954E-3</v>
      </c>
    </row>
    <row r="671" spans="1:9" ht="18">
      <c r="A671" s="237">
        <v>43775</v>
      </c>
      <c r="B671" s="238">
        <v>83.11</v>
      </c>
      <c r="C671" s="47">
        <f t="shared" si="23"/>
        <v>3.3804177230472021E-3</v>
      </c>
      <c r="E671" s="81"/>
      <c r="F671" s="82"/>
      <c r="G671" s="81">
        <v>43742</v>
      </c>
      <c r="H671" s="82">
        <v>257.05</v>
      </c>
      <c r="I671" s="166">
        <f t="shared" si="22"/>
        <v>1.9098846273777337E-3</v>
      </c>
    </row>
    <row r="672" spans="1:9" ht="18">
      <c r="A672" s="237">
        <v>43776</v>
      </c>
      <c r="B672" s="238">
        <v>83.27</v>
      </c>
      <c r="C672" s="47">
        <f t="shared" si="23"/>
        <v>1.9251594272651218E-3</v>
      </c>
      <c r="E672" s="81"/>
      <c r="F672" s="82"/>
      <c r="G672" s="81">
        <v>43743</v>
      </c>
      <c r="H672" s="82">
        <v>258.93</v>
      </c>
      <c r="I672" s="166">
        <f t="shared" si="22"/>
        <v>7.3137521882902234E-3</v>
      </c>
    </row>
    <row r="673" spans="1:9" ht="18">
      <c r="A673" s="237">
        <v>43777</v>
      </c>
      <c r="B673" s="238">
        <v>82.42</v>
      </c>
      <c r="C673" s="47">
        <f t="shared" si="23"/>
        <v>-1.0207757896000924E-2</v>
      </c>
      <c r="E673" s="81"/>
      <c r="F673" s="82"/>
      <c r="G673" s="81">
        <v>43746</v>
      </c>
      <c r="H673" s="82">
        <v>258.01</v>
      </c>
      <c r="I673" s="166">
        <f t="shared" si="22"/>
        <v>-3.5530838450547053E-3</v>
      </c>
    </row>
    <row r="674" spans="1:9" ht="18">
      <c r="A674" s="237">
        <v>43778</v>
      </c>
      <c r="B674" s="238">
        <v>82.78</v>
      </c>
      <c r="C674" s="47">
        <f t="shared" si="23"/>
        <v>4.3678718757582669E-3</v>
      </c>
      <c r="E674" s="81"/>
      <c r="F674" s="82"/>
      <c r="G674" s="81">
        <v>43747</v>
      </c>
      <c r="H674" s="82">
        <v>260.68</v>
      </c>
      <c r="I674" s="166">
        <f t="shared" si="22"/>
        <v>1.0348436107127768E-2</v>
      </c>
    </row>
    <row r="675" spans="1:9" ht="18">
      <c r="A675" s="237">
        <v>43781</v>
      </c>
      <c r="B675" s="238">
        <v>82.34</v>
      </c>
      <c r="C675" s="47">
        <f t="shared" si="23"/>
        <v>-5.3152935491664888E-3</v>
      </c>
      <c r="E675" s="81"/>
      <c r="F675" s="82"/>
      <c r="G675" s="81">
        <v>43748</v>
      </c>
      <c r="H675" s="82">
        <v>263.04000000000002</v>
      </c>
      <c r="I675" s="166">
        <f t="shared" si="22"/>
        <v>9.0532453582936601E-3</v>
      </c>
    </row>
    <row r="676" spans="1:9" ht="18">
      <c r="A676" s="237">
        <v>43782</v>
      </c>
      <c r="B676" s="238">
        <v>83.77</v>
      </c>
      <c r="C676" s="47">
        <f t="shared" si="23"/>
        <v>1.7367014816613846E-2</v>
      </c>
      <c r="E676" s="81"/>
      <c r="F676" s="82"/>
      <c r="G676" s="81">
        <v>43749</v>
      </c>
      <c r="H676" s="82">
        <v>264.26</v>
      </c>
      <c r="I676" s="166">
        <f t="shared" si="22"/>
        <v>4.638077858880596E-3</v>
      </c>
    </row>
    <row r="677" spans="1:9" ht="18">
      <c r="A677" s="237">
        <v>43783</v>
      </c>
      <c r="B677" s="238">
        <v>83.25</v>
      </c>
      <c r="C677" s="47">
        <f t="shared" si="23"/>
        <v>-6.2074728423062719E-3</v>
      </c>
      <c r="E677" s="81"/>
      <c r="F677" s="82"/>
      <c r="G677" s="81">
        <v>43750</v>
      </c>
      <c r="H677" s="82">
        <v>261.7</v>
      </c>
      <c r="I677" s="166">
        <f t="shared" si="22"/>
        <v>-9.6874290471505864E-3</v>
      </c>
    </row>
    <row r="678" spans="1:9" ht="18">
      <c r="A678" s="237">
        <v>43784</v>
      </c>
      <c r="B678" s="238">
        <v>83.94</v>
      </c>
      <c r="C678" s="47">
        <f t="shared" si="23"/>
        <v>8.2882882882882036E-3</v>
      </c>
      <c r="E678" s="81"/>
      <c r="F678" s="82"/>
      <c r="G678" s="81">
        <v>43753</v>
      </c>
      <c r="H678" s="82">
        <v>260.54000000000002</v>
      </c>
      <c r="I678" s="166">
        <f t="shared" si="22"/>
        <v>-4.432556362246709E-3</v>
      </c>
    </row>
    <row r="679" spans="1:9" ht="18">
      <c r="A679" s="237">
        <v>43785</v>
      </c>
      <c r="B679" s="238">
        <v>84.21</v>
      </c>
      <c r="C679" s="47">
        <f t="shared" si="23"/>
        <v>3.2165832737669486E-3</v>
      </c>
      <c r="E679" s="81"/>
      <c r="F679" s="82"/>
      <c r="G679" s="81">
        <v>43754</v>
      </c>
      <c r="H679" s="82">
        <v>261.52</v>
      </c>
      <c r="I679" s="166">
        <f t="shared" si="22"/>
        <v>3.7614185921546195E-3</v>
      </c>
    </row>
    <row r="680" spans="1:9" ht="18">
      <c r="A680" s="237">
        <v>43788</v>
      </c>
      <c r="B680" s="238">
        <v>84.74</v>
      </c>
      <c r="C680" s="47">
        <f t="shared" si="23"/>
        <v>6.2937893361834085E-3</v>
      </c>
      <c r="E680" s="81"/>
      <c r="F680" s="82"/>
      <c r="G680" s="81">
        <v>43755</v>
      </c>
      <c r="H680" s="82">
        <v>258.58999999999997</v>
      </c>
      <c r="I680" s="166">
        <f t="shared" si="22"/>
        <v>-1.1203732028143176E-2</v>
      </c>
    </row>
    <row r="681" spans="1:9" ht="18">
      <c r="A681" s="237">
        <v>43789</v>
      </c>
      <c r="B681" s="238">
        <v>84.74</v>
      </c>
      <c r="C681" s="47">
        <f t="shared" si="23"/>
        <v>0</v>
      </c>
      <c r="E681" s="81"/>
      <c r="F681" s="82"/>
      <c r="G681" s="81">
        <v>43756</v>
      </c>
      <c r="H681" s="82">
        <v>256.02</v>
      </c>
      <c r="I681" s="166">
        <f t="shared" si="22"/>
        <v>-9.9385127035074294E-3</v>
      </c>
    </row>
    <row r="682" spans="1:9" ht="18">
      <c r="A682" s="237">
        <v>43790</v>
      </c>
      <c r="B682" s="238">
        <v>85.16</v>
      </c>
      <c r="C682" s="47">
        <f t="shared" si="23"/>
        <v>4.9563370309180232E-3</v>
      </c>
      <c r="E682" s="81"/>
      <c r="F682" s="82"/>
      <c r="G682" s="81">
        <v>43757</v>
      </c>
      <c r="H682" s="82">
        <v>254.71</v>
      </c>
      <c r="I682" s="166">
        <f t="shared" si="22"/>
        <v>-5.1167877509568083E-3</v>
      </c>
    </row>
    <row r="683" spans="1:9" ht="18">
      <c r="A683" s="237">
        <v>43792</v>
      </c>
      <c r="B683" s="238">
        <v>84.99</v>
      </c>
      <c r="C683" s="47">
        <f t="shared" si="23"/>
        <v>-1.9962423673086649E-3</v>
      </c>
      <c r="E683" s="81"/>
      <c r="F683" s="82"/>
      <c r="G683" s="81">
        <v>43760</v>
      </c>
      <c r="H683" s="82">
        <v>252.58</v>
      </c>
      <c r="I683" s="166">
        <f t="shared" si="22"/>
        <v>-8.3624514153350926E-3</v>
      </c>
    </row>
    <row r="684" spans="1:9" ht="18">
      <c r="A684" s="237">
        <v>43795</v>
      </c>
      <c r="B684" s="238">
        <v>85.36</v>
      </c>
      <c r="C684" s="47">
        <f t="shared" si="23"/>
        <v>4.3534533474527404E-3</v>
      </c>
      <c r="E684" s="81"/>
      <c r="F684" s="82"/>
      <c r="G684" s="81">
        <v>43761</v>
      </c>
      <c r="H684" s="82">
        <v>252.8</v>
      </c>
      <c r="I684" s="166">
        <f t="shared" si="22"/>
        <v>8.7101116477938945E-4</v>
      </c>
    </row>
    <row r="685" spans="1:9" ht="18">
      <c r="A685" s="237">
        <v>43796</v>
      </c>
      <c r="B685" s="238">
        <v>85.8</v>
      </c>
      <c r="C685" s="47">
        <f t="shared" si="23"/>
        <v>5.1546391752577136E-3</v>
      </c>
      <c r="E685" s="81"/>
      <c r="F685" s="82"/>
      <c r="G685" s="81">
        <v>43762</v>
      </c>
      <c r="H685" s="82">
        <v>253.1</v>
      </c>
      <c r="I685" s="166">
        <f t="shared" si="22"/>
        <v>1.1867088607593335E-3</v>
      </c>
    </row>
    <row r="686" spans="1:9" ht="18">
      <c r="A686" s="237">
        <v>43797</v>
      </c>
      <c r="B686" s="238">
        <v>86.48</v>
      </c>
      <c r="C686" s="47">
        <f t="shared" si="23"/>
        <v>7.9254079254080789E-3</v>
      </c>
      <c r="E686" s="81"/>
      <c r="F686" s="82"/>
      <c r="G686" s="81">
        <v>43763</v>
      </c>
      <c r="H686" s="82">
        <v>251.36</v>
      </c>
      <c r="I686" s="166">
        <f t="shared" si="22"/>
        <v>-6.8747530620307806E-3</v>
      </c>
    </row>
    <row r="687" spans="1:9" ht="18">
      <c r="A687" s="237">
        <v>43798</v>
      </c>
      <c r="B687" s="238">
        <v>85.87</v>
      </c>
      <c r="C687" s="47">
        <f t="shared" si="23"/>
        <v>-7.0536540240517809E-3</v>
      </c>
      <c r="E687" s="81"/>
      <c r="F687" s="82"/>
      <c r="G687" s="81">
        <v>43764</v>
      </c>
      <c r="H687" s="82">
        <v>253.85</v>
      </c>
      <c r="I687" s="166">
        <f t="shared" si="22"/>
        <v>9.9061107574791585E-3</v>
      </c>
    </row>
    <row r="688" spans="1:9" ht="18">
      <c r="A688" s="237">
        <v>43799</v>
      </c>
      <c r="B688" s="238">
        <v>86.85</v>
      </c>
      <c r="C688" s="47">
        <f t="shared" si="23"/>
        <v>1.141260044252923E-2</v>
      </c>
      <c r="E688" s="81"/>
      <c r="F688" s="82"/>
      <c r="G688" s="81">
        <v>43767</v>
      </c>
      <c r="H688" s="82">
        <v>254.42</v>
      </c>
      <c r="I688" s="166">
        <f t="shared" si="22"/>
        <v>2.2454205239315073E-3</v>
      </c>
    </row>
    <row r="689" spans="1:9" ht="18">
      <c r="A689" s="237">
        <v>43802</v>
      </c>
      <c r="B689" s="238">
        <v>86.25</v>
      </c>
      <c r="C689" s="47">
        <f t="shared" si="23"/>
        <v>-6.9084628670120773E-3</v>
      </c>
      <c r="E689" s="81"/>
      <c r="F689" s="82"/>
      <c r="G689" s="81">
        <v>43768</v>
      </c>
      <c r="H689" s="82">
        <v>252.89</v>
      </c>
      <c r="I689" s="166">
        <f t="shared" si="22"/>
        <v>-6.0136781699552389E-3</v>
      </c>
    </row>
    <row r="690" spans="1:9" ht="18">
      <c r="A690" s="237">
        <v>43803</v>
      </c>
      <c r="B690" s="238">
        <v>86.75</v>
      </c>
      <c r="C690" s="47">
        <f t="shared" si="23"/>
        <v>5.7971014492752548E-3</v>
      </c>
      <c r="E690" s="81"/>
      <c r="F690" s="82"/>
      <c r="G690" s="81">
        <v>43769</v>
      </c>
      <c r="H690" s="82">
        <v>252.89</v>
      </c>
      <c r="I690" s="166">
        <f t="shared" si="22"/>
        <v>0</v>
      </c>
    </row>
    <row r="691" spans="1:9" ht="18">
      <c r="A691" s="237">
        <v>43804</v>
      </c>
      <c r="B691" s="238">
        <v>87.23</v>
      </c>
      <c r="C691" s="47">
        <f t="shared" si="23"/>
        <v>5.5331412103747368E-3</v>
      </c>
      <c r="E691" s="81"/>
      <c r="F691" s="82"/>
      <c r="G691" s="81">
        <v>43770</v>
      </c>
      <c r="H691" s="82">
        <v>256.14999999999998</v>
      </c>
      <c r="I691" s="166">
        <f t="shared" si="22"/>
        <v>1.289098026810076E-2</v>
      </c>
    </row>
    <row r="692" spans="1:9" ht="18">
      <c r="A692" s="237">
        <v>43805</v>
      </c>
      <c r="B692" s="238">
        <v>87.14</v>
      </c>
      <c r="C692" s="47">
        <f t="shared" si="23"/>
        <v>-1.0317551301157746E-3</v>
      </c>
      <c r="E692" s="81"/>
      <c r="F692" s="82"/>
      <c r="G692" s="81">
        <v>43771</v>
      </c>
      <c r="H692" s="82">
        <v>260.38</v>
      </c>
      <c r="I692" s="166">
        <f t="shared" si="22"/>
        <v>1.6513761467890076E-2</v>
      </c>
    </row>
    <row r="693" spans="1:9" ht="18">
      <c r="A693" s="237">
        <v>43806</v>
      </c>
      <c r="B693" s="238">
        <v>86.84</v>
      </c>
      <c r="C693" s="47">
        <f t="shared" si="23"/>
        <v>-3.4427358274041753E-3</v>
      </c>
      <c r="E693" s="81"/>
      <c r="F693" s="82"/>
      <c r="G693" s="81">
        <v>43774</v>
      </c>
      <c r="H693" s="82">
        <v>264.01</v>
      </c>
      <c r="I693" s="166">
        <f t="shared" si="22"/>
        <v>1.3941162915738436E-2</v>
      </c>
    </row>
    <row r="694" spans="1:9" ht="18">
      <c r="A694" s="237">
        <v>43809</v>
      </c>
      <c r="B694" s="238">
        <v>86.7</v>
      </c>
      <c r="C694" s="47">
        <f t="shared" si="23"/>
        <v>-1.6121602947950509E-3</v>
      </c>
      <c r="E694" s="81"/>
      <c r="F694" s="82"/>
      <c r="G694" s="81">
        <v>43775</v>
      </c>
      <c r="H694" s="82">
        <v>262.93</v>
      </c>
      <c r="I694" s="166">
        <f t="shared" si="22"/>
        <v>-4.0907541381007828E-3</v>
      </c>
    </row>
    <row r="695" spans="1:9" ht="18">
      <c r="A695" s="237">
        <v>43810</v>
      </c>
      <c r="B695" s="238">
        <v>86.88</v>
      </c>
      <c r="C695" s="47">
        <f t="shared" si="23"/>
        <v>2.0761245674738582E-3</v>
      </c>
      <c r="E695" s="81"/>
      <c r="F695" s="82"/>
      <c r="G695" s="81">
        <v>43776</v>
      </c>
      <c r="H695" s="82">
        <v>262.82</v>
      </c>
      <c r="I695" s="166">
        <f t="shared" si="22"/>
        <v>-4.183623017534055E-4</v>
      </c>
    </row>
    <row r="696" spans="1:9" ht="18">
      <c r="A696" s="237">
        <v>43811</v>
      </c>
      <c r="B696" s="238">
        <v>88.32</v>
      </c>
      <c r="C696" s="47">
        <f t="shared" si="23"/>
        <v>1.6574585635359185E-2</v>
      </c>
      <c r="E696" s="81"/>
      <c r="F696" s="82"/>
      <c r="G696" s="81">
        <v>43777</v>
      </c>
      <c r="H696" s="82">
        <v>262.14</v>
      </c>
      <c r="I696" s="166">
        <f t="shared" si="22"/>
        <v>-2.5873221216041742E-3</v>
      </c>
    </row>
    <row r="697" spans="1:9" ht="18">
      <c r="A697" s="237">
        <v>43812</v>
      </c>
      <c r="B697" s="238">
        <v>88.87</v>
      </c>
      <c r="C697" s="47">
        <f t="shared" si="23"/>
        <v>6.2273550724638582E-3</v>
      </c>
      <c r="E697" s="81"/>
      <c r="F697" s="82"/>
      <c r="G697" s="81">
        <v>43778</v>
      </c>
      <c r="H697" s="82">
        <v>260.39</v>
      </c>
      <c r="I697" s="166">
        <f t="shared" si="22"/>
        <v>-6.6758220798046608E-3</v>
      </c>
    </row>
    <row r="698" spans="1:9" ht="18">
      <c r="A698" s="237">
        <v>43813</v>
      </c>
      <c r="B698" s="238">
        <v>88.75</v>
      </c>
      <c r="C698" s="47">
        <f t="shared" si="23"/>
        <v>-1.3502869359739433E-3</v>
      </c>
      <c r="E698" s="81"/>
      <c r="F698" s="82"/>
      <c r="G698" s="81">
        <v>43781</v>
      </c>
      <c r="H698" s="82">
        <v>261.82</v>
      </c>
      <c r="I698" s="166">
        <f t="shared" si="22"/>
        <v>5.4917623564654239E-3</v>
      </c>
    </row>
    <row r="699" spans="1:9" ht="18">
      <c r="A699" s="237">
        <v>43816</v>
      </c>
      <c r="B699" s="238">
        <v>88.77</v>
      </c>
      <c r="C699" s="47">
        <f t="shared" si="23"/>
        <v>2.2535211267604716E-4</v>
      </c>
      <c r="E699" s="81"/>
      <c r="F699" s="82"/>
      <c r="G699" s="81">
        <v>43782</v>
      </c>
      <c r="H699" s="82">
        <v>263.62</v>
      </c>
      <c r="I699" s="166">
        <f t="shared" si="22"/>
        <v>6.874952257275968E-3</v>
      </c>
    </row>
    <row r="700" spans="1:9" ht="18">
      <c r="A700" s="237">
        <v>43817</v>
      </c>
      <c r="B700" s="238">
        <v>88.99</v>
      </c>
      <c r="C700" s="47">
        <f t="shared" si="23"/>
        <v>2.4783147459728205E-3</v>
      </c>
      <c r="E700" s="81"/>
      <c r="F700" s="82"/>
      <c r="G700" s="81">
        <v>43783</v>
      </c>
      <c r="H700" s="82">
        <v>268.76</v>
      </c>
      <c r="I700" s="166">
        <f t="shared" si="22"/>
        <v>1.9497761930050705E-2</v>
      </c>
    </row>
    <row r="701" spans="1:9" ht="18">
      <c r="A701" s="237">
        <v>43818</v>
      </c>
      <c r="B701" s="238">
        <v>89</v>
      </c>
      <c r="C701" s="47">
        <f t="shared" si="23"/>
        <v>1.1237217664916699E-4</v>
      </c>
      <c r="E701" s="81"/>
      <c r="F701" s="82"/>
      <c r="G701" s="81">
        <v>43784</v>
      </c>
      <c r="H701" s="82">
        <v>268.39</v>
      </c>
      <c r="I701" s="166">
        <f t="shared" si="22"/>
        <v>-1.3766929602619937E-3</v>
      </c>
    </row>
    <row r="702" spans="1:9" ht="18">
      <c r="A702" s="237">
        <v>43819</v>
      </c>
      <c r="B702" s="238">
        <v>89.16</v>
      </c>
      <c r="C702" s="47">
        <f t="shared" si="23"/>
        <v>1.7977528089887507E-3</v>
      </c>
      <c r="E702" s="81"/>
      <c r="F702" s="82"/>
      <c r="G702" s="81">
        <v>43785</v>
      </c>
      <c r="H702" s="82">
        <v>267.7</v>
      </c>
      <c r="I702" s="166">
        <f t="shared" si="22"/>
        <v>-2.5708856514773393E-3</v>
      </c>
    </row>
    <row r="703" spans="1:9" ht="18">
      <c r="A703" s="237">
        <v>43820</v>
      </c>
      <c r="B703" s="238">
        <v>89.04</v>
      </c>
      <c r="C703" s="47">
        <f t="shared" si="23"/>
        <v>-1.3458950201883368E-3</v>
      </c>
      <c r="E703" s="81"/>
      <c r="F703" s="82"/>
      <c r="G703" s="81">
        <v>43788</v>
      </c>
      <c r="H703" s="82">
        <v>269.95</v>
      </c>
      <c r="I703" s="166">
        <f t="shared" si="22"/>
        <v>8.4049308927904853E-3</v>
      </c>
    </row>
    <row r="704" spans="1:9" ht="18">
      <c r="A704" s="237">
        <v>43824</v>
      </c>
      <c r="B704" s="238">
        <v>89.36</v>
      </c>
      <c r="C704" s="47">
        <f t="shared" si="23"/>
        <v>3.5938903863430571E-3</v>
      </c>
      <c r="E704" s="81"/>
      <c r="F704" s="82"/>
      <c r="G704" s="81">
        <v>43789</v>
      </c>
      <c r="H704" s="82">
        <v>270.63</v>
      </c>
      <c r="I704" s="166">
        <f t="shared" si="22"/>
        <v>2.518984997221807E-3</v>
      </c>
    </row>
    <row r="705" spans="1:9" ht="18">
      <c r="A705" s="237">
        <v>43825</v>
      </c>
      <c r="B705" s="238">
        <v>89.68</v>
      </c>
      <c r="C705" s="47">
        <f t="shared" si="23"/>
        <v>3.5810205908684001E-3</v>
      </c>
      <c r="E705" s="81"/>
      <c r="F705" s="82"/>
      <c r="G705" s="81">
        <v>43790</v>
      </c>
      <c r="H705" s="82">
        <v>269.36</v>
      </c>
      <c r="I705" s="166">
        <f t="shared" si="22"/>
        <v>-4.6927539444997501E-3</v>
      </c>
    </row>
    <row r="706" spans="1:9" ht="18">
      <c r="A706" s="237">
        <v>43826</v>
      </c>
      <c r="B706" s="238">
        <v>89.43</v>
      </c>
      <c r="C706" s="47">
        <f t="shared" si="23"/>
        <v>-2.7876895628903275E-3</v>
      </c>
      <c r="E706" s="81"/>
      <c r="F706" s="82"/>
      <c r="G706" s="81">
        <v>43791</v>
      </c>
      <c r="H706" s="82">
        <v>270.63</v>
      </c>
      <c r="I706" s="166">
        <f t="shared" si="22"/>
        <v>4.7148797148797161E-3</v>
      </c>
    </row>
    <row r="707" spans="1:9" ht="18">
      <c r="A707" s="237">
        <v>43827</v>
      </c>
      <c r="B707" s="238">
        <v>89.06</v>
      </c>
      <c r="C707" s="47">
        <f t="shared" si="23"/>
        <v>-4.1373141004137359E-3</v>
      </c>
      <c r="E707" s="81"/>
      <c r="F707" s="82"/>
      <c r="G707" s="81">
        <v>43792</v>
      </c>
      <c r="H707" s="82">
        <v>269.23</v>
      </c>
      <c r="I707" s="166">
        <f t="shared" si="22"/>
        <v>-5.1731145844879922E-3</v>
      </c>
    </row>
    <row r="708" spans="1:9" ht="18">
      <c r="A708" s="237">
        <v>43831</v>
      </c>
      <c r="B708" s="238">
        <v>88.18</v>
      </c>
      <c r="C708" s="47">
        <f t="shared" si="23"/>
        <v>-9.8809791152031368E-3</v>
      </c>
      <c r="E708" s="81"/>
      <c r="F708" s="82"/>
      <c r="G708" s="81">
        <v>43795</v>
      </c>
      <c r="H708" s="82">
        <v>268.42</v>
      </c>
      <c r="I708" s="166">
        <f t="shared" si="22"/>
        <v>-3.0085800245143179E-3</v>
      </c>
    </row>
    <row r="709" spans="1:9" ht="18">
      <c r="A709" s="237">
        <v>43832</v>
      </c>
      <c r="B709" s="238">
        <v>87.84</v>
      </c>
      <c r="C709" s="47">
        <f t="shared" si="23"/>
        <v>-3.8557496030846572E-3</v>
      </c>
      <c r="E709" s="81"/>
      <c r="F709" s="82"/>
      <c r="G709" s="81">
        <v>43796</v>
      </c>
      <c r="H709" s="82">
        <v>270.3</v>
      </c>
      <c r="I709" s="166">
        <f t="shared" si="22"/>
        <v>7.0039490350941591E-3</v>
      </c>
    </row>
    <row r="710" spans="1:9" ht="18">
      <c r="A710" s="237">
        <v>43833</v>
      </c>
      <c r="B710" s="238">
        <v>87.44</v>
      </c>
      <c r="C710" s="47">
        <f t="shared" si="23"/>
        <v>-4.5537340619308253E-3</v>
      </c>
      <c r="E710" s="81"/>
      <c r="F710" s="82"/>
      <c r="G710" s="81">
        <v>43797</v>
      </c>
      <c r="H710" s="82">
        <v>269.83999999999997</v>
      </c>
      <c r="I710" s="166">
        <f t="shared" si="22"/>
        <v>-1.7018128005921174E-3</v>
      </c>
    </row>
    <row r="711" spans="1:9" ht="18">
      <c r="A711" s="237">
        <v>43834</v>
      </c>
      <c r="B711" s="238">
        <v>87.17</v>
      </c>
      <c r="C711" s="47">
        <f t="shared" si="23"/>
        <v>-3.0878316559926899E-3</v>
      </c>
      <c r="E711" s="81"/>
      <c r="F711" s="82"/>
      <c r="G711" s="81">
        <v>43798</v>
      </c>
      <c r="H711" s="82">
        <v>270.67</v>
      </c>
      <c r="I711" s="166">
        <f t="shared" si="22"/>
        <v>3.0758968277500021E-3</v>
      </c>
    </row>
    <row r="712" spans="1:9" ht="18">
      <c r="A712" s="237">
        <v>43837</v>
      </c>
      <c r="B712" s="238">
        <v>87.28</v>
      </c>
      <c r="C712" s="47">
        <f t="shared" si="23"/>
        <v>1.2619020305151274E-3</v>
      </c>
      <c r="E712" s="81"/>
      <c r="F712" s="82"/>
      <c r="G712" s="81">
        <v>43799</v>
      </c>
      <c r="H712" s="82">
        <v>270.45</v>
      </c>
      <c r="I712" s="166">
        <f t="shared" si="22"/>
        <v>-8.1279787194754594E-4</v>
      </c>
    </row>
    <row r="713" spans="1:9" ht="18">
      <c r="A713" s="237">
        <v>43838</v>
      </c>
      <c r="B713" s="238">
        <v>86.94</v>
      </c>
      <c r="C713" s="47">
        <f t="shared" si="23"/>
        <v>-3.8955087076076866E-3</v>
      </c>
      <c r="E713" s="81"/>
      <c r="F713" s="82"/>
      <c r="G713" s="81">
        <v>43802</v>
      </c>
      <c r="H713" s="82">
        <v>270</v>
      </c>
      <c r="I713" s="166">
        <f t="shared" si="22"/>
        <v>-1.6638935108153063E-3</v>
      </c>
    </row>
    <row r="714" spans="1:9" ht="18">
      <c r="A714" s="237">
        <v>43839</v>
      </c>
      <c r="B714" s="238">
        <v>87.56</v>
      </c>
      <c r="C714" s="47">
        <f t="shared" si="23"/>
        <v>7.1313549574418822E-3</v>
      </c>
      <c r="E714" s="81"/>
      <c r="F714" s="82"/>
      <c r="G714" s="81">
        <v>43803</v>
      </c>
      <c r="H714" s="82">
        <v>268.32</v>
      </c>
      <c r="I714" s="166">
        <f t="shared" si="22"/>
        <v>-6.2222222222222401E-3</v>
      </c>
    </row>
    <row r="715" spans="1:9" ht="18">
      <c r="A715" s="237">
        <v>43840</v>
      </c>
      <c r="B715" s="238">
        <v>88.35</v>
      </c>
      <c r="C715" s="47">
        <f t="shared" si="23"/>
        <v>9.0223846505252947E-3</v>
      </c>
      <c r="E715" s="81"/>
      <c r="F715" s="82"/>
      <c r="G715" s="81">
        <v>43804</v>
      </c>
      <c r="H715" s="82">
        <v>269.23</v>
      </c>
      <c r="I715" s="166">
        <f t="shared" si="22"/>
        <v>3.3914728682171713E-3</v>
      </c>
    </row>
    <row r="716" spans="1:9" ht="18">
      <c r="A716" s="237">
        <v>43841</v>
      </c>
      <c r="B716" s="238">
        <v>88.51</v>
      </c>
      <c r="C716" s="47">
        <f t="shared" si="23"/>
        <v>1.8109790605547182E-3</v>
      </c>
      <c r="E716" s="81"/>
      <c r="F716" s="82"/>
      <c r="G716" s="81">
        <v>43805</v>
      </c>
      <c r="H716" s="82">
        <v>268.43</v>
      </c>
      <c r="I716" s="166">
        <f t="shared" si="22"/>
        <v>-2.971437061248805E-3</v>
      </c>
    </row>
    <row r="717" spans="1:9" ht="18">
      <c r="A717" s="237">
        <v>43845</v>
      </c>
      <c r="B717" s="238">
        <v>87.69</v>
      </c>
      <c r="C717" s="47">
        <f t="shared" si="23"/>
        <v>-9.2644898881483195E-3</v>
      </c>
      <c r="E717" s="81"/>
      <c r="F717" s="82"/>
      <c r="G717" s="81">
        <v>43806</v>
      </c>
      <c r="H717" s="82">
        <v>268.77999999999997</v>
      </c>
      <c r="I717" s="166">
        <f t="shared" si="22"/>
        <v>1.3038781060237259E-3</v>
      </c>
    </row>
    <row r="718" spans="1:9" ht="18">
      <c r="A718" s="237">
        <v>43846</v>
      </c>
      <c r="B718" s="238">
        <v>87.36</v>
      </c>
      <c r="C718" s="47">
        <f t="shared" si="23"/>
        <v>-3.7632569278138739E-3</v>
      </c>
      <c r="E718" s="81"/>
      <c r="F718" s="82"/>
      <c r="G718" s="81">
        <v>43809</v>
      </c>
      <c r="H718" s="82">
        <v>268.39999999999998</v>
      </c>
      <c r="I718" s="166">
        <f t="shared" si="22"/>
        <v>-1.4137956693206499E-3</v>
      </c>
    </row>
    <row r="719" spans="1:9" ht="18">
      <c r="A719" s="237">
        <v>43847</v>
      </c>
      <c r="B719" s="238">
        <v>87.45</v>
      </c>
      <c r="C719" s="47">
        <f t="shared" si="23"/>
        <v>1.0302197802198876E-3</v>
      </c>
      <c r="E719" s="81"/>
      <c r="F719" s="82"/>
      <c r="G719" s="81">
        <v>43810</v>
      </c>
      <c r="H719" s="82">
        <v>268.92</v>
      </c>
      <c r="I719" s="166">
        <f t="shared" ref="I719:I782" si="24">H719/H718-1</f>
        <v>1.9374068554398605E-3</v>
      </c>
    </row>
    <row r="720" spans="1:9" ht="18">
      <c r="A720" s="237">
        <v>43848</v>
      </c>
      <c r="B720" s="238">
        <v>87.49</v>
      </c>
      <c r="C720" s="47">
        <f t="shared" si="23"/>
        <v>4.574042309890558E-4</v>
      </c>
      <c r="E720" s="81"/>
      <c r="F720" s="82"/>
      <c r="G720" s="81">
        <v>43811</v>
      </c>
      <c r="H720" s="82">
        <v>268.64</v>
      </c>
      <c r="I720" s="166">
        <f t="shared" si="24"/>
        <v>-1.0412018444148075E-3</v>
      </c>
    </row>
    <row r="721" spans="1:9" ht="18">
      <c r="A721" s="237">
        <v>43851</v>
      </c>
      <c r="B721" s="238">
        <v>87.55</v>
      </c>
      <c r="C721" s="47">
        <f t="shared" si="23"/>
        <v>6.8579266201851397E-4</v>
      </c>
      <c r="E721" s="81"/>
      <c r="F721" s="82"/>
      <c r="G721" s="81">
        <v>43812</v>
      </c>
      <c r="H721" s="82">
        <v>273.18</v>
      </c>
      <c r="I721" s="166">
        <f t="shared" si="24"/>
        <v>1.6899940440738614E-2</v>
      </c>
    </row>
    <row r="722" spans="1:9" ht="18">
      <c r="A722" s="237">
        <v>43852</v>
      </c>
      <c r="B722" s="238">
        <v>87.1</v>
      </c>
      <c r="C722" s="47">
        <f t="shared" si="23"/>
        <v>-5.1399200456881955E-3</v>
      </c>
      <c r="E722" s="81"/>
      <c r="F722" s="82"/>
      <c r="G722" s="81">
        <v>43813</v>
      </c>
      <c r="H722" s="82">
        <v>275.06</v>
      </c>
      <c r="I722" s="166">
        <f t="shared" si="24"/>
        <v>6.8819093637895179E-3</v>
      </c>
    </row>
    <row r="723" spans="1:9" ht="18">
      <c r="A723" s="237">
        <v>43853</v>
      </c>
      <c r="B723" s="238">
        <v>86.86</v>
      </c>
      <c r="C723" s="47">
        <f t="shared" si="23"/>
        <v>-2.7554535017221271E-3</v>
      </c>
      <c r="E723" s="81"/>
      <c r="F723" s="82"/>
      <c r="G723" s="81">
        <v>43816</v>
      </c>
      <c r="H723" s="82">
        <v>274.08999999999997</v>
      </c>
      <c r="I723" s="166">
        <f t="shared" si="24"/>
        <v>-3.5265033083692332E-3</v>
      </c>
    </row>
    <row r="724" spans="1:9" ht="18">
      <c r="A724" s="237">
        <v>43854</v>
      </c>
      <c r="B724" s="238">
        <v>87.48</v>
      </c>
      <c r="C724" s="47">
        <f t="shared" si="23"/>
        <v>7.1379230946351235E-3</v>
      </c>
      <c r="E724" s="81"/>
      <c r="F724" s="82"/>
      <c r="G724" s="81">
        <v>43817</v>
      </c>
      <c r="H724" s="82">
        <v>274.45999999999998</v>
      </c>
      <c r="I724" s="166">
        <f t="shared" si="24"/>
        <v>1.3499215586121327E-3</v>
      </c>
    </row>
    <row r="725" spans="1:9" ht="18">
      <c r="A725" s="237">
        <v>43855</v>
      </c>
      <c r="B725" s="238">
        <v>87.61</v>
      </c>
      <c r="C725" s="47">
        <f t="shared" si="23"/>
        <v>1.4860539551897478E-3</v>
      </c>
      <c r="E725" s="81"/>
      <c r="F725" s="82"/>
      <c r="G725" s="81">
        <v>43818</v>
      </c>
      <c r="H725" s="82">
        <v>272.72000000000003</v>
      </c>
      <c r="I725" s="166">
        <f t="shared" si="24"/>
        <v>-6.3397216352107932E-3</v>
      </c>
    </row>
    <row r="726" spans="1:9" ht="18">
      <c r="A726" s="237">
        <v>43858</v>
      </c>
      <c r="B726" s="238">
        <v>87.94</v>
      </c>
      <c r="C726" s="47">
        <f t="shared" si="23"/>
        <v>3.7666932998516867E-3</v>
      </c>
      <c r="E726" s="81"/>
      <c r="F726" s="82"/>
      <c r="G726" s="81">
        <v>43819</v>
      </c>
      <c r="H726" s="82">
        <v>273.62</v>
      </c>
      <c r="I726" s="166">
        <f t="shared" si="24"/>
        <v>3.3000880023466017E-3</v>
      </c>
    </row>
    <row r="727" spans="1:9" ht="18">
      <c r="A727" s="237">
        <v>43859</v>
      </c>
      <c r="B727" s="238">
        <v>88.14</v>
      </c>
      <c r="C727" s="47">
        <f t="shared" ref="C727:C790" si="25">B727/B726-1</f>
        <v>2.2742779167614913E-3</v>
      </c>
      <c r="E727" s="81"/>
      <c r="F727" s="82"/>
      <c r="G727" s="81">
        <v>43820</v>
      </c>
      <c r="H727" s="82">
        <v>272.38</v>
      </c>
      <c r="I727" s="166">
        <f t="shared" si="24"/>
        <v>-4.5318324683868427E-3</v>
      </c>
    </row>
    <row r="728" spans="1:9" ht="18">
      <c r="A728" s="237">
        <v>43860</v>
      </c>
      <c r="B728" s="238">
        <v>87.98</v>
      </c>
      <c r="C728" s="47">
        <f t="shared" si="25"/>
        <v>-1.8152938506920124E-3</v>
      </c>
      <c r="E728" s="81"/>
      <c r="F728" s="82"/>
      <c r="G728" s="81">
        <v>43823</v>
      </c>
      <c r="H728" s="82">
        <v>272.5</v>
      </c>
      <c r="I728" s="166">
        <f t="shared" si="24"/>
        <v>4.405609809825517E-4</v>
      </c>
    </row>
    <row r="729" spans="1:9" ht="18">
      <c r="A729" s="237">
        <v>43861</v>
      </c>
      <c r="B729" s="238">
        <v>88.35</v>
      </c>
      <c r="C729" s="47">
        <f t="shared" si="25"/>
        <v>4.2055012502839606E-3</v>
      </c>
      <c r="E729" s="81"/>
      <c r="F729" s="82"/>
      <c r="G729" s="81">
        <v>43824</v>
      </c>
      <c r="H729" s="82">
        <v>273.88</v>
      </c>
      <c r="I729" s="166">
        <f t="shared" si="24"/>
        <v>5.0642201834862899E-3</v>
      </c>
    </row>
    <row r="730" spans="1:9" ht="18">
      <c r="A730" s="237">
        <v>43862</v>
      </c>
      <c r="B730" s="238">
        <v>87.64</v>
      </c>
      <c r="C730" s="47">
        <f t="shared" si="25"/>
        <v>-8.0362195812110349E-3</v>
      </c>
      <c r="E730" s="81"/>
      <c r="F730" s="82"/>
      <c r="G730" s="81">
        <v>43825</v>
      </c>
      <c r="H730" s="82">
        <v>276.49</v>
      </c>
      <c r="I730" s="166">
        <f t="shared" si="24"/>
        <v>9.5297210457134796E-3</v>
      </c>
    </row>
    <row r="731" spans="1:9" ht="18">
      <c r="A731" s="237">
        <v>43865</v>
      </c>
      <c r="B731" s="238">
        <v>86.9</v>
      </c>
      <c r="C731" s="47">
        <f t="shared" si="25"/>
        <v>-8.4436330442719809E-3</v>
      </c>
      <c r="E731" s="81"/>
      <c r="F731" s="82"/>
      <c r="G731" s="81">
        <v>43826</v>
      </c>
      <c r="H731" s="82">
        <v>279.58</v>
      </c>
      <c r="I731" s="166">
        <f t="shared" si="24"/>
        <v>1.117581106007437E-2</v>
      </c>
    </row>
    <row r="732" spans="1:9" ht="18">
      <c r="A732" s="237">
        <v>43866</v>
      </c>
      <c r="B732" s="238">
        <v>87.69</v>
      </c>
      <c r="C732" s="47">
        <f t="shared" si="25"/>
        <v>9.0909090909090384E-3</v>
      </c>
      <c r="E732" s="81"/>
      <c r="F732" s="82"/>
      <c r="G732" s="81">
        <v>43827</v>
      </c>
      <c r="H732" s="82">
        <v>280.08999999999997</v>
      </c>
      <c r="I732" s="166">
        <f t="shared" si="24"/>
        <v>1.8241648186565484E-3</v>
      </c>
    </row>
    <row r="733" spans="1:9" ht="18">
      <c r="A733" s="237">
        <v>43867</v>
      </c>
      <c r="B733" s="238">
        <v>87.57</v>
      </c>
      <c r="C733" s="47">
        <f t="shared" si="25"/>
        <v>-1.3684570646596006E-3</v>
      </c>
      <c r="E733" s="81"/>
      <c r="F733" s="82"/>
      <c r="G733" s="81">
        <v>43830</v>
      </c>
      <c r="H733" s="82">
        <v>280.45</v>
      </c>
      <c r="I733" s="166">
        <f t="shared" si="24"/>
        <v>1.2853011532008018E-3</v>
      </c>
    </row>
    <row r="734" spans="1:9" ht="18">
      <c r="A734" s="237">
        <v>43868</v>
      </c>
      <c r="B734" s="238">
        <v>87.46</v>
      </c>
      <c r="C734" s="47">
        <f t="shared" si="25"/>
        <v>-1.2561379467854739E-3</v>
      </c>
      <c r="E734" s="81"/>
      <c r="F734" s="82"/>
      <c r="G734" s="81">
        <v>43831</v>
      </c>
      <c r="H734" s="82">
        <v>278.12</v>
      </c>
      <c r="I734" s="166">
        <f t="shared" si="24"/>
        <v>-8.3080763059368845E-3</v>
      </c>
    </row>
    <row r="735" spans="1:9" ht="18">
      <c r="A735" s="237">
        <v>43869</v>
      </c>
      <c r="B735" s="238">
        <v>87.49</v>
      </c>
      <c r="C735" s="47">
        <f t="shared" si="25"/>
        <v>3.4301394923397233E-4</v>
      </c>
      <c r="E735" s="81"/>
      <c r="F735" s="82"/>
      <c r="G735" s="81">
        <v>43832</v>
      </c>
      <c r="H735" s="82">
        <v>275.66000000000003</v>
      </c>
      <c r="I735" s="166">
        <f t="shared" si="24"/>
        <v>-8.845102833309304E-3</v>
      </c>
    </row>
    <row r="736" spans="1:9" ht="18">
      <c r="A736" s="237">
        <v>43872</v>
      </c>
      <c r="B736" s="238">
        <v>87.57</v>
      </c>
      <c r="C736" s="47">
        <f t="shared" si="25"/>
        <v>9.1439021602468529E-4</v>
      </c>
      <c r="E736" s="81"/>
      <c r="F736" s="82"/>
      <c r="G736" s="81">
        <v>43833</v>
      </c>
      <c r="H736" s="82">
        <v>276.35000000000002</v>
      </c>
      <c r="I736" s="166">
        <f t="shared" si="24"/>
        <v>2.5030835086701231E-3</v>
      </c>
    </row>
    <row r="737" spans="1:9" ht="18">
      <c r="A737" s="237">
        <v>43873</v>
      </c>
      <c r="B737" s="238">
        <v>86.49</v>
      </c>
      <c r="C737" s="47">
        <f t="shared" si="25"/>
        <v>-1.2332990750256956E-2</v>
      </c>
      <c r="E737" s="81"/>
      <c r="F737" s="82"/>
      <c r="G737" s="81">
        <v>43834</v>
      </c>
      <c r="H737" s="82">
        <v>276.12</v>
      </c>
      <c r="I737" s="166">
        <f t="shared" si="24"/>
        <v>-8.322779084495302E-4</v>
      </c>
    </row>
    <row r="738" spans="1:9" ht="18">
      <c r="A738" s="237">
        <v>43874</v>
      </c>
      <c r="B738" s="238">
        <v>87.08</v>
      </c>
      <c r="C738" s="47">
        <f t="shared" si="25"/>
        <v>6.8215978725865156E-3</v>
      </c>
      <c r="E738" s="81"/>
      <c r="F738" s="82"/>
      <c r="G738" s="81">
        <v>43837</v>
      </c>
      <c r="H738" s="82">
        <v>274.74</v>
      </c>
      <c r="I738" s="166">
        <f t="shared" si="24"/>
        <v>-4.9978270317253548E-3</v>
      </c>
    </row>
    <row r="739" spans="1:9" ht="18">
      <c r="A739" s="237">
        <v>43875</v>
      </c>
      <c r="B739" s="238">
        <v>87.79</v>
      </c>
      <c r="C739" s="47">
        <f t="shared" si="25"/>
        <v>8.1534221405605845E-3</v>
      </c>
      <c r="E739" s="81"/>
      <c r="F739" s="82"/>
      <c r="G739" s="81">
        <v>43838</v>
      </c>
      <c r="H739" s="82">
        <v>273.95</v>
      </c>
      <c r="I739" s="166">
        <f t="shared" si="24"/>
        <v>-2.8754458761011126E-3</v>
      </c>
    </row>
    <row r="740" spans="1:9" ht="18">
      <c r="A740" s="237">
        <v>43876</v>
      </c>
      <c r="B740" s="238">
        <v>87.19</v>
      </c>
      <c r="C740" s="47">
        <f t="shared" si="25"/>
        <v>-6.8344913999317525E-3</v>
      </c>
      <c r="E740" s="81"/>
      <c r="F740" s="82"/>
      <c r="G740" s="81">
        <v>43839</v>
      </c>
      <c r="H740" s="82">
        <v>273.37</v>
      </c>
      <c r="I740" s="166">
        <f t="shared" si="24"/>
        <v>-2.1171746669099711E-3</v>
      </c>
    </row>
    <row r="741" spans="1:9" ht="18">
      <c r="A741" s="237">
        <v>43880</v>
      </c>
      <c r="B741" s="238">
        <v>87.18</v>
      </c>
      <c r="C741" s="47">
        <f t="shared" si="25"/>
        <v>-1.1469205184067022E-4</v>
      </c>
      <c r="E741" s="81"/>
      <c r="F741" s="82"/>
      <c r="G741" s="81">
        <v>43840</v>
      </c>
      <c r="H741" s="82">
        <v>274.95999999999998</v>
      </c>
      <c r="I741" s="166">
        <f t="shared" si="24"/>
        <v>5.8162929363132498E-3</v>
      </c>
    </row>
    <row r="742" spans="1:9" ht="18">
      <c r="A742" s="237">
        <v>43881</v>
      </c>
      <c r="B742" s="238">
        <v>87.11</v>
      </c>
      <c r="C742" s="47">
        <f t="shared" si="25"/>
        <v>-8.0293645331508401E-4</v>
      </c>
      <c r="E742" s="81"/>
      <c r="F742" s="82"/>
      <c r="G742" s="81">
        <v>43841</v>
      </c>
      <c r="H742" s="82">
        <v>275.60000000000002</v>
      </c>
      <c r="I742" s="166">
        <f t="shared" si="24"/>
        <v>2.3276112889150102E-3</v>
      </c>
    </row>
    <row r="743" spans="1:9" ht="18">
      <c r="A743" s="237">
        <v>43882</v>
      </c>
      <c r="B743" s="238">
        <v>87.66</v>
      </c>
      <c r="C743" s="47">
        <f t="shared" si="25"/>
        <v>6.3138560440820779E-3</v>
      </c>
      <c r="E743" s="81"/>
      <c r="F743" s="82"/>
      <c r="G743" s="81">
        <v>43844</v>
      </c>
      <c r="H743" s="82">
        <v>275.55</v>
      </c>
      <c r="I743" s="166">
        <f t="shared" si="24"/>
        <v>-1.8142235123375094E-4</v>
      </c>
    </row>
    <row r="744" spans="1:9" ht="18">
      <c r="A744" s="237">
        <v>43883</v>
      </c>
      <c r="B744" s="238">
        <v>88.15</v>
      </c>
      <c r="C744" s="47">
        <f t="shared" si="25"/>
        <v>5.5897786903948976E-3</v>
      </c>
      <c r="E744" s="81"/>
      <c r="F744" s="82"/>
      <c r="G744" s="81">
        <v>43845</v>
      </c>
      <c r="H744" s="82">
        <v>271.95999999999998</v>
      </c>
      <c r="I744" s="166">
        <f t="shared" si="24"/>
        <v>-1.3028488477590416E-2</v>
      </c>
    </row>
    <row r="745" spans="1:9" ht="18">
      <c r="A745" s="237">
        <v>43886</v>
      </c>
      <c r="B745" s="238">
        <v>87.9</v>
      </c>
      <c r="C745" s="47">
        <f t="shared" si="25"/>
        <v>-2.8360748723765816E-3</v>
      </c>
      <c r="E745" s="81"/>
      <c r="F745" s="82"/>
      <c r="G745" s="81">
        <v>43846</v>
      </c>
      <c r="H745" s="82">
        <v>266.70999999999998</v>
      </c>
      <c r="I745" s="166">
        <f t="shared" si="24"/>
        <v>-1.9304309457273128E-2</v>
      </c>
    </row>
    <row r="746" spans="1:9" ht="18">
      <c r="A746" s="237">
        <v>43887</v>
      </c>
      <c r="B746" s="238">
        <v>87.82</v>
      </c>
      <c r="C746" s="47">
        <f t="shared" si="25"/>
        <v>-9.1012514220722984E-4</v>
      </c>
      <c r="E746" s="81"/>
      <c r="F746" s="82"/>
      <c r="G746" s="81">
        <v>43847</v>
      </c>
      <c r="H746" s="82">
        <v>267.08999999999997</v>
      </c>
      <c r="I746" s="166">
        <f t="shared" si="24"/>
        <v>1.4247684751227396E-3</v>
      </c>
    </row>
    <row r="747" spans="1:9" ht="18">
      <c r="A747" s="237">
        <v>43888</v>
      </c>
      <c r="B747" s="238">
        <v>88</v>
      </c>
      <c r="C747" s="47">
        <f t="shared" si="25"/>
        <v>2.04964700523802E-3</v>
      </c>
      <c r="E747" s="81"/>
      <c r="F747" s="82"/>
      <c r="G747" s="81">
        <v>43848</v>
      </c>
      <c r="H747" s="82">
        <v>269.14</v>
      </c>
      <c r="I747" s="166">
        <f t="shared" si="24"/>
        <v>7.6753154367441567E-3</v>
      </c>
    </row>
    <row r="748" spans="1:9" ht="18">
      <c r="A748" s="237">
        <v>43889</v>
      </c>
      <c r="B748" s="238">
        <v>88.3</v>
      </c>
      <c r="C748" s="47">
        <f t="shared" si="25"/>
        <v>3.4090909090909172E-3</v>
      </c>
      <c r="E748" s="81"/>
      <c r="F748" s="82"/>
      <c r="G748" s="81">
        <v>43851</v>
      </c>
      <c r="H748" s="82">
        <v>267.35000000000002</v>
      </c>
      <c r="I748" s="166">
        <f t="shared" si="24"/>
        <v>-6.6508137029054337E-3</v>
      </c>
    </row>
    <row r="749" spans="1:9" ht="18">
      <c r="A749" s="237">
        <v>43890</v>
      </c>
      <c r="B749" s="238">
        <v>88.43</v>
      </c>
      <c r="C749" s="47">
        <f t="shared" si="25"/>
        <v>1.4722536806344166E-3</v>
      </c>
      <c r="E749" s="81"/>
      <c r="F749" s="82"/>
      <c r="G749" s="81">
        <v>43852</v>
      </c>
      <c r="H749" s="82">
        <v>268.06</v>
      </c>
      <c r="I749" s="166">
        <f t="shared" si="24"/>
        <v>2.6556947821207988E-3</v>
      </c>
    </row>
    <row r="750" spans="1:9" ht="18">
      <c r="A750" s="237">
        <v>43893</v>
      </c>
      <c r="B750" s="238">
        <v>88.35</v>
      </c>
      <c r="C750" s="47">
        <f t="shared" si="25"/>
        <v>-9.0467036073749174E-4</v>
      </c>
      <c r="E750" s="81"/>
      <c r="F750" s="82"/>
      <c r="G750" s="81">
        <v>43853</v>
      </c>
      <c r="H750" s="82">
        <v>271.92</v>
      </c>
      <c r="I750" s="166">
        <f t="shared" si="24"/>
        <v>1.439976124748199E-2</v>
      </c>
    </row>
    <row r="751" spans="1:9" ht="18">
      <c r="A751" s="237">
        <v>43894</v>
      </c>
      <c r="B751" s="238">
        <v>88.54</v>
      </c>
      <c r="C751" s="47">
        <f t="shared" si="25"/>
        <v>2.1505376344086446E-3</v>
      </c>
      <c r="E751" s="81"/>
      <c r="F751" s="82"/>
      <c r="G751" s="81">
        <v>43854</v>
      </c>
      <c r="H751" s="82">
        <v>273.64999999999998</v>
      </c>
      <c r="I751" s="166">
        <f t="shared" si="24"/>
        <v>6.3621653427476943E-3</v>
      </c>
    </row>
    <row r="752" spans="1:9" ht="18">
      <c r="A752" s="237">
        <v>43895</v>
      </c>
      <c r="B752" s="238">
        <v>88.87</v>
      </c>
      <c r="C752" s="47">
        <f t="shared" si="25"/>
        <v>3.7271289812514929E-3</v>
      </c>
      <c r="E752" s="81"/>
      <c r="F752" s="82"/>
      <c r="G752" s="81">
        <v>43855</v>
      </c>
      <c r="H752" s="82">
        <v>272.8</v>
      </c>
      <c r="I752" s="166">
        <f t="shared" si="24"/>
        <v>-3.1061575004566189E-3</v>
      </c>
    </row>
    <row r="753" spans="1:9" ht="18">
      <c r="A753" s="237">
        <v>43896</v>
      </c>
      <c r="B753" s="238">
        <v>89.11</v>
      </c>
      <c r="C753" s="47">
        <f t="shared" si="25"/>
        <v>2.7005738719476646E-3</v>
      </c>
      <c r="E753" s="81"/>
      <c r="F753" s="82"/>
      <c r="G753" s="81">
        <v>43858</v>
      </c>
      <c r="H753" s="82">
        <v>273.83999999999997</v>
      </c>
      <c r="I753" s="166">
        <f t="shared" si="24"/>
        <v>3.8123167155423854E-3</v>
      </c>
    </row>
    <row r="754" spans="1:9" ht="18">
      <c r="A754" s="237">
        <v>43897</v>
      </c>
      <c r="B754" s="238">
        <v>89.21</v>
      </c>
      <c r="C754" s="47">
        <f t="shared" si="25"/>
        <v>1.122208506340483E-3</v>
      </c>
      <c r="E754" s="81"/>
      <c r="F754" s="82"/>
      <c r="G754" s="81">
        <v>43859</v>
      </c>
      <c r="H754" s="82">
        <v>271.08</v>
      </c>
      <c r="I754" s="166">
        <f t="shared" si="24"/>
        <v>-1.0078878177037676E-2</v>
      </c>
    </row>
    <row r="755" spans="1:9" ht="18">
      <c r="A755" s="237">
        <v>43900</v>
      </c>
      <c r="B755" s="238">
        <v>89.07</v>
      </c>
      <c r="C755" s="47">
        <f t="shared" si="25"/>
        <v>-1.5693307925120914E-3</v>
      </c>
      <c r="E755" s="81"/>
      <c r="F755" s="82"/>
      <c r="G755" s="81">
        <v>43860</v>
      </c>
      <c r="H755" s="82">
        <v>270.26</v>
      </c>
      <c r="I755" s="166">
        <f t="shared" si="24"/>
        <v>-3.024937287885443E-3</v>
      </c>
    </row>
    <row r="756" spans="1:9" ht="18">
      <c r="A756" s="237">
        <v>43901</v>
      </c>
      <c r="B756" s="238">
        <v>88.95</v>
      </c>
      <c r="C756" s="47">
        <f t="shared" si="25"/>
        <v>-1.3472549680025869E-3</v>
      </c>
      <c r="E756" s="81"/>
      <c r="F756" s="82"/>
      <c r="G756" s="81">
        <v>43861</v>
      </c>
      <c r="H756" s="82">
        <v>271.18</v>
      </c>
      <c r="I756" s="166">
        <f t="shared" si="24"/>
        <v>3.4041293569155862E-3</v>
      </c>
    </row>
    <row r="757" spans="1:9" ht="18">
      <c r="A757" s="237">
        <v>43902</v>
      </c>
      <c r="B757" s="238">
        <v>89.04</v>
      </c>
      <c r="C757" s="47">
        <f t="shared" si="25"/>
        <v>1.0118043844857816E-3</v>
      </c>
      <c r="E757" s="81"/>
      <c r="F757" s="82"/>
      <c r="G757" s="81">
        <v>43862</v>
      </c>
      <c r="H757" s="82">
        <v>271.36</v>
      </c>
      <c r="I757" s="166">
        <f t="shared" si="24"/>
        <v>6.6376576443683E-4</v>
      </c>
    </row>
    <row r="758" spans="1:9" ht="18">
      <c r="A758" s="237">
        <v>43903</v>
      </c>
      <c r="B758" s="238">
        <v>88.59</v>
      </c>
      <c r="C758" s="47">
        <f t="shared" si="25"/>
        <v>-5.0539083557952225E-3</v>
      </c>
      <c r="E758" s="81"/>
      <c r="F758" s="82"/>
      <c r="G758" s="81">
        <v>43865</v>
      </c>
      <c r="H758" s="82">
        <v>269.99</v>
      </c>
      <c r="I758" s="166">
        <f t="shared" si="24"/>
        <v>-5.0486438679245849E-3</v>
      </c>
    </row>
    <row r="759" spans="1:9" ht="18">
      <c r="A759" s="237">
        <v>43904</v>
      </c>
      <c r="B759" s="238">
        <v>88.31</v>
      </c>
      <c r="C759" s="47">
        <f t="shared" si="25"/>
        <v>-3.1606276103397501E-3</v>
      </c>
      <c r="E759" s="81"/>
      <c r="F759" s="82"/>
      <c r="G759" s="81">
        <v>43866</v>
      </c>
      <c r="H759" s="82">
        <v>275.04000000000002</v>
      </c>
      <c r="I759" s="166">
        <f t="shared" si="24"/>
        <v>1.8704396459128247E-2</v>
      </c>
    </row>
    <row r="760" spans="1:9" ht="18">
      <c r="A760" s="237">
        <v>43907</v>
      </c>
      <c r="B760" s="238">
        <v>88.36</v>
      </c>
      <c r="C760" s="47">
        <f t="shared" si="25"/>
        <v>5.6618729475710339E-4</v>
      </c>
      <c r="E760" s="81"/>
      <c r="F760" s="82"/>
      <c r="G760" s="81">
        <v>43867</v>
      </c>
      <c r="H760" s="82">
        <v>275.66000000000003</v>
      </c>
      <c r="I760" s="166">
        <f t="shared" si="24"/>
        <v>2.2542175683537558E-3</v>
      </c>
    </row>
    <row r="761" spans="1:9" ht="18">
      <c r="A761" s="237">
        <v>43908</v>
      </c>
      <c r="B761" s="238">
        <v>88.77</v>
      </c>
      <c r="C761" s="47">
        <f t="shared" si="25"/>
        <v>4.6401086464462615E-3</v>
      </c>
      <c r="E761" s="81"/>
      <c r="F761" s="82"/>
      <c r="G761" s="81">
        <v>43868</v>
      </c>
      <c r="H761" s="82">
        <v>274.5</v>
      </c>
      <c r="I761" s="166">
        <f t="shared" si="24"/>
        <v>-4.2080824203729605E-3</v>
      </c>
    </row>
    <row r="762" spans="1:9" ht="18">
      <c r="A762" s="237">
        <v>43909</v>
      </c>
      <c r="B762" s="238">
        <v>89.19</v>
      </c>
      <c r="C762" s="47">
        <f t="shared" si="25"/>
        <v>4.7313281514025363E-3</v>
      </c>
      <c r="E762" s="81"/>
      <c r="F762" s="82"/>
      <c r="G762" s="81">
        <v>43869</v>
      </c>
      <c r="H762" s="82">
        <v>273.77999999999997</v>
      </c>
      <c r="I762" s="166">
        <f t="shared" si="24"/>
        <v>-2.6229508196722318E-3</v>
      </c>
    </row>
    <row r="763" spans="1:9" ht="18">
      <c r="A763" s="237">
        <v>43910</v>
      </c>
      <c r="B763" s="238">
        <v>89.5</v>
      </c>
      <c r="C763" s="47">
        <f t="shared" si="25"/>
        <v>3.4757259782487449E-3</v>
      </c>
      <c r="E763" s="81"/>
      <c r="F763" s="82"/>
      <c r="G763" s="81">
        <v>43872</v>
      </c>
      <c r="H763" s="82">
        <v>273.49</v>
      </c>
      <c r="I763" s="166">
        <f t="shared" si="24"/>
        <v>-1.0592446489881002E-3</v>
      </c>
    </row>
    <row r="764" spans="1:9" ht="18">
      <c r="A764" s="237">
        <v>43911</v>
      </c>
      <c r="B764" s="238">
        <v>89.79</v>
      </c>
      <c r="C764" s="47">
        <f t="shared" si="25"/>
        <v>3.2402234636872418E-3</v>
      </c>
      <c r="E764" s="81"/>
      <c r="F764" s="82"/>
      <c r="G764" s="81">
        <v>43873</v>
      </c>
      <c r="H764" s="82">
        <v>273.26</v>
      </c>
      <c r="I764" s="166">
        <f t="shared" si="24"/>
        <v>-8.4098138871624428E-4</v>
      </c>
    </row>
    <row r="765" spans="1:9" ht="18">
      <c r="A765" s="237">
        <v>43914</v>
      </c>
      <c r="B765" s="238">
        <v>89.72</v>
      </c>
      <c r="C765" s="47">
        <f t="shared" si="25"/>
        <v>-7.7959683706430027E-4</v>
      </c>
      <c r="E765" s="81"/>
      <c r="F765" s="82"/>
      <c r="G765" s="81">
        <v>43874</v>
      </c>
      <c r="H765" s="82">
        <v>274.52</v>
      </c>
      <c r="I765" s="166">
        <f t="shared" si="24"/>
        <v>4.6109931932958315E-3</v>
      </c>
    </row>
    <row r="766" spans="1:9" ht="18">
      <c r="A766" s="237">
        <v>43915</v>
      </c>
      <c r="B766" s="238">
        <v>89.71</v>
      </c>
      <c r="C766" s="47">
        <f t="shared" si="25"/>
        <v>-1.1145786892563514E-4</v>
      </c>
      <c r="E766" s="81"/>
      <c r="F766" s="82"/>
      <c r="G766" s="81">
        <v>43875</v>
      </c>
      <c r="H766" s="82">
        <v>277.24</v>
      </c>
      <c r="I766" s="166">
        <f t="shared" si="24"/>
        <v>9.9082034095876459E-3</v>
      </c>
    </row>
    <row r="767" spans="1:9" ht="18">
      <c r="A767" s="237">
        <v>43916</v>
      </c>
      <c r="B767" s="238">
        <v>90.08</v>
      </c>
      <c r="C767" s="47">
        <f t="shared" si="25"/>
        <v>4.1244008471743587E-3</v>
      </c>
      <c r="E767" s="81"/>
      <c r="F767" s="82"/>
      <c r="G767" s="81">
        <v>43876</v>
      </c>
      <c r="H767" s="82">
        <v>279.36</v>
      </c>
      <c r="I767" s="166">
        <f t="shared" si="24"/>
        <v>7.6468042129562708E-3</v>
      </c>
    </row>
    <row r="768" spans="1:9" ht="18">
      <c r="A768" s="237">
        <v>43917</v>
      </c>
      <c r="B768" s="238">
        <v>89.67</v>
      </c>
      <c r="C768" s="47">
        <f t="shared" si="25"/>
        <v>-4.5515097690941309E-3</v>
      </c>
      <c r="E768" s="81"/>
      <c r="F768" s="82"/>
      <c r="G768" s="81">
        <v>43879</v>
      </c>
      <c r="H768" s="82">
        <v>279.29000000000002</v>
      </c>
      <c r="I768" s="166">
        <f t="shared" si="24"/>
        <v>-2.5057273768613886E-4</v>
      </c>
    </row>
    <row r="769" spans="1:9" ht="18">
      <c r="A769" s="237">
        <v>43921</v>
      </c>
      <c r="B769" s="238">
        <v>88.92</v>
      </c>
      <c r="C769" s="47">
        <f t="shared" si="25"/>
        <v>-8.3640013382402234E-3</v>
      </c>
      <c r="E769" s="81"/>
      <c r="F769" s="82"/>
      <c r="G769" s="81">
        <v>43880</v>
      </c>
      <c r="H769" s="82">
        <v>280.32</v>
      </c>
      <c r="I769" s="166">
        <f t="shared" si="24"/>
        <v>3.6879229474737762E-3</v>
      </c>
    </row>
    <row r="770" spans="1:9" ht="18">
      <c r="A770" s="237">
        <v>43922</v>
      </c>
      <c r="B770" s="238">
        <v>88.96</v>
      </c>
      <c r="C770" s="47">
        <f t="shared" si="25"/>
        <v>4.4984255510560622E-4</v>
      </c>
      <c r="E770" s="81"/>
      <c r="F770" s="82"/>
      <c r="G770" s="81">
        <v>43881</v>
      </c>
      <c r="H770" s="82">
        <v>280.67</v>
      </c>
      <c r="I770" s="166">
        <f t="shared" si="24"/>
        <v>1.2485730593607691E-3</v>
      </c>
    </row>
    <row r="771" spans="1:9" ht="18">
      <c r="A771" s="237">
        <v>43923</v>
      </c>
      <c r="B771" s="238">
        <v>89.15</v>
      </c>
      <c r="C771" s="47">
        <f t="shared" si="25"/>
        <v>2.1357913669066697E-3</v>
      </c>
      <c r="E771" s="81"/>
      <c r="F771" s="82"/>
      <c r="G771" s="81">
        <v>43882</v>
      </c>
      <c r="H771" s="82">
        <v>282.97000000000003</v>
      </c>
      <c r="I771" s="166">
        <f t="shared" si="24"/>
        <v>8.1946770228382704E-3</v>
      </c>
    </row>
    <row r="772" spans="1:9" ht="18">
      <c r="A772" s="237">
        <v>43924</v>
      </c>
      <c r="B772" s="238">
        <v>89.11</v>
      </c>
      <c r="C772" s="47">
        <f t="shared" si="25"/>
        <v>-4.4868199663494757E-4</v>
      </c>
      <c r="E772" s="81"/>
      <c r="F772" s="82"/>
      <c r="G772" s="81">
        <v>43883</v>
      </c>
      <c r="H772" s="82">
        <v>282.69</v>
      </c>
      <c r="I772" s="166">
        <f t="shared" si="24"/>
        <v>-9.8950418772314475E-4</v>
      </c>
    </row>
    <row r="773" spans="1:9" ht="18">
      <c r="A773" s="237">
        <v>43925</v>
      </c>
      <c r="B773" s="238">
        <v>89.25</v>
      </c>
      <c r="C773" s="47">
        <f t="shared" si="25"/>
        <v>1.5710919088767206E-3</v>
      </c>
      <c r="E773" s="81"/>
      <c r="F773" s="82"/>
      <c r="G773" s="81">
        <v>43886</v>
      </c>
      <c r="H773" s="82">
        <v>282.06</v>
      </c>
      <c r="I773" s="166">
        <f t="shared" si="24"/>
        <v>-2.2285896211396983E-3</v>
      </c>
    </row>
    <row r="774" spans="1:9" ht="18">
      <c r="A774" s="237">
        <v>43928</v>
      </c>
      <c r="B774" s="238">
        <v>89.28</v>
      </c>
      <c r="C774" s="47">
        <f t="shared" si="25"/>
        <v>3.3613445378155582E-4</v>
      </c>
      <c r="E774" s="81"/>
      <c r="F774" s="82"/>
      <c r="G774" s="81">
        <v>43887</v>
      </c>
      <c r="H774" s="82">
        <v>283.41000000000003</v>
      </c>
      <c r="I774" s="166">
        <f t="shared" si="24"/>
        <v>4.7862156987876769E-3</v>
      </c>
    </row>
    <row r="775" spans="1:9" ht="18">
      <c r="A775" s="237">
        <v>43929</v>
      </c>
      <c r="B775" s="238">
        <v>89.88</v>
      </c>
      <c r="C775" s="47">
        <f t="shared" si="25"/>
        <v>6.7204301075267647E-3</v>
      </c>
      <c r="E775" s="81"/>
      <c r="F775" s="82"/>
      <c r="G775" s="81">
        <v>43888</v>
      </c>
      <c r="H775" s="82">
        <v>280.08999999999997</v>
      </c>
      <c r="I775" s="166">
        <f t="shared" si="24"/>
        <v>-1.1714477259094802E-2</v>
      </c>
    </row>
    <row r="776" spans="1:9" ht="18">
      <c r="A776" s="237">
        <v>43930</v>
      </c>
      <c r="B776" s="238">
        <v>88.46</v>
      </c>
      <c r="C776" s="47">
        <f t="shared" si="25"/>
        <v>-1.5798842901646681E-2</v>
      </c>
      <c r="E776" s="81"/>
      <c r="F776" s="82"/>
      <c r="G776" s="81">
        <v>43889</v>
      </c>
      <c r="H776" s="82">
        <v>281.25</v>
      </c>
      <c r="I776" s="166">
        <f t="shared" si="24"/>
        <v>4.1415259380914726E-3</v>
      </c>
    </row>
    <row r="777" spans="1:9" ht="18">
      <c r="A777" s="237">
        <v>43931</v>
      </c>
      <c r="B777" s="238">
        <v>88.2</v>
      </c>
      <c r="C777" s="47">
        <f t="shared" si="25"/>
        <v>-2.939181550983383E-3</v>
      </c>
      <c r="E777" s="81"/>
      <c r="F777" s="82"/>
      <c r="G777" s="81">
        <v>43890</v>
      </c>
      <c r="H777" s="82">
        <v>282.52999999999997</v>
      </c>
      <c r="I777" s="166">
        <f t="shared" si="24"/>
        <v>4.5511111111109503E-3</v>
      </c>
    </row>
    <row r="778" spans="1:9" ht="18">
      <c r="A778" s="237">
        <v>43932</v>
      </c>
      <c r="B778" s="238">
        <v>87.95</v>
      </c>
      <c r="C778" s="47">
        <f t="shared" si="25"/>
        <v>-2.8344671201814275E-3</v>
      </c>
      <c r="E778" s="81"/>
      <c r="F778" s="82"/>
      <c r="G778" s="81">
        <v>43893</v>
      </c>
      <c r="H778" s="82">
        <v>283.43</v>
      </c>
      <c r="I778" s="166">
        <f t="shared" si="24"/>
        <v>3.1855024245213137E-3</v>
      </c>
    </row>
    <row r="779" spans="1:9" ht="18">
      <c r="A779" s="237">
        <v>43935</v>
      </c>
      <c r="B779" s="238">
        <v>86.93</v>
      </c>
      <c r="C779" s="47">
        <f t="shared" si="25"/>
        <v>-1.1597498578737819E-2</v>
      </c>
      <c r="E779" s="81"/>
      <c r="F779" s="82"/>
      <c r="G779" s="81">
        <v>43894</v>
      </c>
      <c r="H779" s="82">
        <v>281.72000000000003</v>
      </c>
      <c r="I779" s="166">
        <f t="shared" si="24"/>
        <v>-6.0332357195779229E-3</v>
      </c>
    </row>
    <row r="780" spans="1:9" ht="18">
      <c r="A780" s="237">
        <v>43936</v>
      </c>
      <c r="B780" s="238">
        <v>86.66</v>
      </c>
      <c r="C780" s="47">
        <f t="shared" si="25"/>
        <v>-3.1059473139308791E-3</v>
      </c>
      <c r="E780" s="81"/>
      <c r="F780" s="82"/>
      <c r="G780" s="81">
        <v>43895</v>
      </c>
      <c r="H780" s="82">
        <v>283.2</v>
      </c>
      <c r="I780" s="166">
        <f t="shared" si="24"/>
        <v>5.2534431350275135E-3</v>
      </c>
    </row>
    <row r="781" spans="1:9" ht="18">
      <c r="A781" s="237">
        <v>43937</v>
      </c>
      <c r="B781" s="238">
        <v>87.34</v>
      </c>
      <c r="C781" s="47">
        <f t="shared" si="25"/>
        <v>7.8467574428802145E-3</v>
      </c>
      <c r="E781" s="81"/>
      <c r="F781" s="82"/>
      <c r="G781" s="81">
        <v>43896</v>
      </c>
      <c r="H781" s="82">
        <v>283.70999999999998</v>
      </c>
      <c r="I781" s="166">
        <f t="shared" si="24"/>
        <v>1.8008474576269862E-3</v>
      </c>
    </row>
    <row r="782" spans="1:9" ht="18">
      <c r="A782" s="237">
        <v>43938</v>
      </c>
      <c r="B782" s="238">
        <v>87.27</v>
      </c>
      <c r="C782" s="47">
        <f t="shared" si="25"/>
        <v>-8.0146553698201561E-4</v>
      </c>
      <c r="E782" s="81"/>
      <c r="F782" s="82"/>
      <c r="G782" s="81">
        <v>43897</v>
      </c>
      <c r="H782" s="82">
        <v>284.60000000000002</v>
      </c>
      <c r="I782" s="166">
        <f t="shared" si="24"/>
        <v>3.1370060977760073E-3</v>
      </c>
    </row>
    <row r="783" spans="1:9" ht="18">
      <c r="A783" s="237">
        <v>43939</v>
      </c>
      <c r="B783" s="238">
        <v>87.52</v>
      </c>
      <c r="C783" s="47">
        <f t="shared" si="25"/>
        <v>2.8646728543599842E-3</v>
      </c>
      <c r="E783" s="81"/>
      <c r="F783" s="82"/>
      <c r="G783" s="81">
        <v>43900</v>
      </c>
      <c r="H783" s="82">
        <v>285.17</v>
      </c>
      <c r="I783" s="166">
        <f t="shared" ref="I783:I846" si="26">H783/H782-1</f>
        <v>2.0028109627547863E-3</v>
      </c>
    </row>
    <row r="784" spans="1:9" ht="18">
      <c r="A784" s="237">
        <v>43942</v>
      </c>
      <c r="B784" s="238">
        <v>87.99</v>
      </c>
      <c r="C784" s="47">
        <f t="shared" si="25"/>
        <v>5.3702010968921243E-3</v>
      </c>
      <c r="E784" s="81"/>
      <c r="F784" s="82"/>
      <c r="G784" s="81">
        <v>43901</v>
      </c>
      <c r="H784" s="82">
        <v>287.26</v>
      </c>
      <c r="I784" s="166">
        <f t="shared" si="26"/>
        <v>7.3289616719849349E-3</v>
      </c>
    </row>
    <row r="785" spans="1:9" ht="18">
      <c r="A785" s="237">
        <v>43943</v>
      </c>
      <c r="B785" s="238">
        <v>88.11</v>
      </c>
      <c r="C785" s="47">
        <f t="shared" si="25"/>
        <v>1.3637913399251467E-3</v>
      </c>
      <c r="E785" s="81"/>
      <c r="F785" s="82"/>
      <c r="G785" s="81">
        <v>43902</v>
      </c>
      <c r="H785" s="82">
        <v>285.70999999999998</v>
      </c>
      <c r="I785" s="166">
        <f t="shared" si="26"/>
        <v>-5.3958086750679479E-3</v>
      </c>
    </row>
    <row r="786" spans="1:9" ht="18">
      <c r="A786" s="237">
        <v>43944</v>
      </c>
      <c r="B786" s="238">
        <v>87.48</v>
      </c>
      <c r="C786" s="47">
        <f t="shared" si="25"/>
        <v>-7.1501532175688443E-3</v>
      </c>
      <c r="E786" s="81"/>
      <c r="F786" s="82"/>
      <c r="G786" s="81">
        <v>43903</v>
      </c>
      <c r="H786" s="82">
        <v>286.33999999999997</v>
      </c>
      <c r="I786" s="166">
        <f t="shared" si="26"/>
        <v>2.2050330754961323E-3</v>
      </c>
    </row>
    <row r="787" spans="1:9" ht="18">
      <c r="A787" s="237">
        <v>43945</v>
      </c>
      <c r="B787" s="238">
        <v>87.23</v>
      </c>
      <c r="C787" s="47">
        <f t="shared" si="25"/>
        <v>-2.8577960676725578E-3</v>
      </c>
      <c r="E787" s="81"/>
      <c r="F787" s="82"/>
      <c r="G787" s="81">
        <v>43904</v>
      </c>
      <c r="H787" s="82">
        <v>283.88</v>
      </c>
      <c r="I787" s="166">
        <f t="shared" si="26"/>
        <v>-8.5911853041837904E-3</v>
      </c>
    </row>
    <row r="788" spans="1:9" ht="18">
      <c r="A788" s="237">
        <v>43946</v>
      </c>
      <c r="B788" s="238">
        <v>87.61</v>
      </c>
      <c r="C788" s="47">
        <f t="shared" si="25"/>
        <v>4.3562994382666531E-3</v>
      </c>
      <c r="E788" s="81"/>
      <c r="F788" s="82"/>
      <c r="G788" s="81">
        <v>43907</v>
      </c>
      <c r="H788" s="82">
        <v>284.82</v>
      </c>
      <c r="I788" s="166">
        <f t="shared" si="26"/>
        <v>3.3112582781456013E-3</v>
      </c>
    </row>
    <row r="789" spans="1:9" ht="18">
      <c r="A789" s="237">
        <v>43949</v>
      </c>
      <c r="B789" s="238">
        <v>88.04</v>
      </c>
      <c r="C789" s="47">
        <f t="shared" si="25"/>
        <v>4.9081155119279352E-3</v>
      </c>
      <c r="E789" s="81"/>
      <c r="F789" s="82"/>
      <c r="G789" s="81">
        <v>43908</v>
      </c>
      <c r="H789" s="82">
        <v>282.51</v>
      </c>
      <c r="I789" s="166">
        <f t="shared" si="26"/>
        <v>-8.1103855066357866E-3</v>
      </c>
    </row>
    <row r="790" spans="1:9" ht="18">
      <c r="A790" s="237">
        <v>43950</v>
      </c>
      <c r="B790" s="238">
        <v>87.15</v>
      </c>
      <c r="C790" s="47">
        <f t="shared" si="25"/>
        <v>-1.010904134484325E-2</v>
      </c>
      <c r="E790" s="81"/>
      <c r="F790" s="82"/>
      <c r="G790" s="81">
        <v>43909</v>
      </c>
      <c r="H790" s="82">
        <v>283.08999999999997</v>
      </c>
      <c r="I790" s="166">
        <f t="shared" si="26"/>
        <v>2.0530246716929934E-3</v>
      </c>
    </row>
    <row r="791" spans="1:9" ht="18">
      <c r="A791" s="237">
        <v>43951</v>
      </c>
      <c r="B791" s="238">
        <v>87.15</v>
      </c>
      <c r="C791" s="47">
        <f t="shared" ref="C791:C854" si="27">B791/B790-1</f>
        <v>0</v>
      </c>
      <c r="E791" s="81"/>
      <c r="F791" s="82"/>
      <c r="G791" s="81">
        <v>43910</v>
      </c>
      <c r="H791" s="82">
        <v>286.22000000000003</v>
      </c>
      <c r="I791" s="166">
        <f t="shared" si="26"/>
        <v>1.1056554452647749E-2</v>
      </c>
    </row>
    <row r="792" spans="1:9" ht="18">
      <c r="A792" s="237">
        <v>43952</v>
      </c>
      <c r="B792" s="238">
        <v>87.86</v>
      </c>
      <c r="C792" s="47">
        <f t="shared" si="27"/>
        <v>8.1468732071141581E-3</v>
      </c>
      <c r="E792" s="81"/>
      <c r="F792" s="82"/>
      <c r="G792" s="81">
        <v>43911</v>
      </c>
      <c r="H792" s="82">
        <v>284.14</v>
      </c>
      <c r="I792" s="166">
        <f t="shared" si="26"/>
        <v>-7.267137167214166E-3</v>
      </c>
    </row>
    <row r="793" spans="1:9" ht="18">
      <c r="A793" s="237">
        <v>43953</v>
      </c>
      <c r="B793" s="238">
        <v>88.58</v>
      </c>
      <c r="C793" s="47">
        <f t="shared" si="27"/>
        <v>8.1948554518551653E-3</v>
      </c>
      <c r="E793" s="81"/>
      <c r="F793" s="82"/>
      <c r="G793" s="81">
        <v>43914</v>
      </c>
      <c r="H793" s="82">
        <v>283.47000000000003</v>
      </c>
      <c r="I793" s="166">
        <f t="shared" si="26"/>
        <v>-2.357992538889131E-3</v>
      </c>
    </row>
    <row r="794" spans="1:9" ht="18">
      <c r="A794" s="237">
        <v>43956</v>
      </c>
      <c r="B794" s="238">
        <v>88.83</v>
      </c>
      <c r="C794" s="47">
        <f t="shared" si="27"/>
        <v>2.8223075186273316E-3</v>
      </c>
      <c r="E794" s="81"/>
      <c r="F794" s="82"/>
      <c r="G794" s="81">
        <v>43915</v>
      </c>
      <c r="H794" s="82">
        <v>283.75</v>
      </c>
      <c r="I794" s="166">
        <f t="shared" si="26"/>
        <v>9.8775884573321093E-4</v>
      </c>
    </row>
    <row r="795" spans="1:9" ht="18">
      <c r="A795" s="237">
        <v>43957</v>
      </c>
      <c r="B795" s="238">
        <v>88.9</v>
      </c>
      <c r="C795" s="47">
        <f t="shared" si="27"/>
        <v>7.8802206461792146E-4</v>
      </c>
      <c r="E795" s="81"/>
      <c r="F795" s="82"/>
      <c r="G795" s="81">
        <v>43916</v>
      </c>
      <c r="H795" s="82">
        <v>283.13</v>
      </c>
      <c r="I795" s="166">
        <f t="shared" si="26"/>
        <v>-2.1850220264317821E-3</v>
      </c>
    </row>
    <row r="796" spans="1:9" ht="18">
      <c r="A796" s="237">
        <v>43958</v>
      </c>
      <c r="B796" s="238">
        <v>88.57</v>
      </c>
      <c r="C796" s="47">
        <f t="shared" si="27"/>
        <v>-3.7120359955007398E-3</v>
      </c>
      <c r="E796" s="81"/>
      <c r="F796" s="82"/>
      <c r="G796" s="81">
        <v>43917</v>
      </c>
      <c r="H796" s="82">
        <v>284.14</v>
      </c>
      <c r="I796" s="166">
        <f t="shared" si="26"/>
        <v>3.5672659202485857E-3</v>
      </c>
    </row>
    <row r="797" spans="1:9" ht="18">
      <c r="A797" s="237">
        <v>43959</v>
      </c>
      <c r="B797" s="238">
        <v>88.87</v>
      </c>
      <c r="C797" s="47">
        <f t="shared" si="27"/>
        <v>3.3871514056680319E-3</v>
      </c>
      <c r="E797" s="81"/>
      <c r="F797" s="82"/>
      <c r="G797" s="81">
        <v>43918</v>
      </c>
      <c r="H797" s="82">
        <v>284.68</v>
      </c>
      <c r="I797" s="166">
        <f t="shared" si="26"/>
        <v>1.9004715985078136E-3</v>
      </c>
    </row>
    <row r="798" spans="1:9" ht="18">
      <c r="A798" s="237">
        <v>43960</v>
      </c>
      <c r="B798" s="238">
        <v>88.66</v>
      </c>
      <c r="C798" s="47">
        <f t="shared" si="27"/>
        <v>-2.3630021379543731E-3</v>
      </c>
      <c r="E798" s="81"/>
      <c r="F798" s="82"/>
      <c r="G798" s="81">
        <v>43921</v>
      </c>
      <c r="H798" s="82">
        <v>284.88</v>
      </c>
      <c r="I798" s="166">
        <f t="shared" si="26"/>
        <v>7.0254320640716905E-4</v>
      </c>
    </row>
    <row r="799" spans="1:9" ht="18">
      <c r="A799" s="237">
        <v>43963</v>
      </c>
      <c r="B799" s="238">
        <v>88.75</v>
      </c>
      <c r="C799" s="47">
        <f t="shared" si="27"/>
        <v>1.0151139183398605E-3</v>
      </c>
      <c r="E799" s="81"/>
      <c r="F799" s="82"/>
      <c r="G799" s="81">
        <v>43922</v>
      </c>
      <c r="H799" s="82">
        <v>287.31</v>
      </c>
      <c r="I799" s="166">
        <f t="shared" si="26"/>
        <v>8.5299073294018424E-3</v>
      </c>
    </row>
    <row r="800" spans="1:9" ht="18">
      <c r="A800" s="237">
        <v>43964</v>
      </c>
      <c r="B800" s="238">
        <v>88.95</v>
      </c>
      <c r="C800" s="47">
        <f t="shared" si="27"/>
        <v>2.2535211267606936E-3</v>
      </c>
      <c r="E800" s="81"/>
      <c r="F800" s="82"/>
      <c r="G800" s="81">
        <v>43923</v>
      </c>
      <c r="H800" s="82">
        <v>286.38</v>
      </c>
      <c r="I800" s="166">
        <f t="shared" si="26"/>
        <v>-3.2369217917929127E-3</v>
      </c>
    </row>
    <row r="801" spans="1:9" ht="18">
      <c r="A801" s="237">
        <v>43965</v>
      </c>
      <c r="B801" s="238">
        <v>89.88</v>
      </c>
      <c r="C801" s="47">
        <f t="shared" si="27"/>
        <v>1.0455311973018411E-2</v>
      </c>
      <c r="E801" s="81"/>
      <c r="F801" s="82"/>
      <c r="G801" s="81">
        <v>43924</v>
      </c>
      <c r="H801" s="82">
        <v>287.41000000000003</v>
      </c>
      <c r="I801" s="166">
        <f t="shared" si="26"/>
        <v>3.5966198756898216E-3</v>
      </c>
    </row>
    <row r="802" spans="1:9" ht="18">
      <c r="A802" s="237">
        <v>43966</v>
      </c>
      <c r="B802" s="238">
        <v>89.58</v>
      </c>
      <c r="C802" s="47">
        <f t="shared" si="27"/>
        <v>-3.3377837116154163E-3</v>
      </c>
      <c r="E802" s="81"/>
      <c r="F802" s="82"/>
      <c r="G802" s="81">
        <v>43925</v>
      </c>
      <c r="H802" s="82">
        <v>287.29000000000002</v>
      </c>
      <c r="I802" s="166">
        <f t="shared" si="26"/>
        <v>-4.1752200688915941E-4</v>
      </c>
    </row>
    <row r="803" spans="1:9" ht="18">
      <c r="A803" s="237">
        <v>43967</v>
      </c>
      <c r="B803" s="238">
        <v>89.41</v>
      </c>
      <c r="C803" s="47">
        <f t="shared" si="27"/>
        <v>-1.897745032373277E-3</v>
      </c>
      <c r="E803" s="81"/>
      <c r="F803" s="82"/>
      <c r="G803" s="81">
        <v>43928</v>
      </c>
      <c r="H803" s="82">
        <v>288.20999999999998</v>
      </c>
      <c r="I803" s="166">
        <f t="shared" si="26"/>
        <v>3.2023390998641155E-3</v>
      </c>
    </row>
    <row r="804" spans="1:9" ht="18">
      <c r="A804" s="237">
        <v>43970</v>
      </c>
      <c r="B804" s="238">
        <v>89.42</v>
      </c>
      <c r="C804" s="47">
        <f t="shared" si="27"/>
        <v>1.1184431271682449E-4</v>
      </c>
      <c r="E804" s="81"/>
      <c r="F804" s="82"/>
      <c r="G804" s="81">
        <v>43929</v>
      </c>
      <c r="H804" s="82">
        <v>290.18</v>
      </c>
      <c r="I804" s="166">
        <f t="shared" si="26"/>
        <v>6.8352937094480204E-3</v>
      </c>
    </row>
    <row r="805" spans="1:9" ht="18">
      <c r="A805" s="237">
        <v>43971</v>
      </c>
      <c r="B805" s="238">
        <v>89.49</v>
      </c>
      <c r="C805" s="47">
        <f t="shared" si="27"/>
        <v>7.828226347572631E-4</v>
      </c>
      <c r="E805" s="81"/>
      <c r="F805" s="82"/>
      <c r="G805" s="81">
        <v>43930</v>
      </c>
      <c r="H805" s="82">
        <v>290.58999999999997</v>
      </c>
      <c r="I805" s="166">
        <f t="shared" si="26"/>
        <v>1.4129161210281183E-3</v>
      </c>
    </row>
    <row r="806" spans="1:9" ht="18">
      <c r="A806" s="237">
        <v>43972</v>
      </c>
      <c r="B806" s="238">
        <v>89.2</v>
      </c>
      <c r="C806" s="47">
        <f t="shared" si="27"/>
        <v>-3.2405855402837247E-3</v>
      </c>
      <c r="E806" s="81"/>
      <c r="F806" s="82"/>
      <c r="G806" s="81">
        <v>43931</v>
      </c>
      <c r="H806" s="82">
        <v>289.87</v>
      </c>
      <c r="I806" s="166">
        <f t="shared" si="26"/>
        <v>-2.4777177466532851E-3</v>
      </c>
    </row>
    <row r="807" spans="1:9" ht="18">
      <c r="A807" s="237">
        <v>43973</v>
      </c>
      <c r="B807" s="238">
        <v>88.59</v>
      </c>
      <c r="C807" s="47">
        <f t="shared" si="27"/>
        <v>-6.8385650224215278E-3</v>
      </c>
      <c r="E807" s="81"/>
      <c r="F807" s="82"/>
      <c r="G807" s="81">
        <v>43932</v>
      </c>
      <c r="H807" s="82">
        <v>286.72000000000003</v>
      </c>
      <c r="I807" s="166">
        <f t="shared" si="26"/>
        <v>-1.0866940352571741E-2</v>
      </c>
    </row>
    <row r="808" spans="1:9" ht="18">
      <c r="A808" s="237">
        <v>43974</v>
      </c>
      <c r="B808" s="238">
        <v>88.94</v>
      </c>
      <c r="C808" s="47">
        <f t="shared" si="27"/>
        <v>3.9507845129247432E-3</v>
      </c>
      <c r="E808" s="172"/>
      <c r="F808" s="82"/>
      <c r="G808" s="81">
        <v>43935</v>
      </c>
      <c r="H808" s="82">
        <v>283.89</v>
      </c>
      <c r="I808" s="166">
        <f t="shared" si="26"/>
        <v>-9.8702566964287142E-3</v>
      </c>
    </row>
    <row r="809" spans="1:9" ht="18">
      <c r="A809" s="237">
        <v>43978</v>
      </c>
      <c r="B809" s="238">
        <v>88.41</v>
      </c>
      <c r="C809" s="47">
        <f t="shared" si="27"/>
        <v>-5.9590735327187394E-3</v>
      </c>
      <c r="E809" s="172"/>
      <c r="F809" s="82"/>
      <c r="G809" s="81">
        <v>43936</v>
      </c>
      <c r="H809" s="82">
        <v>278.69</v>
      </c>
      <c r="I809" s="166">
        <f t="shared" si="26"/>
        <v>-1.8316953749691778E-2</v>
      </c>
    </row>
    <row r="810" spans="1:9" ht="18">
      <c r="A810" s="237">
        <v>43979</v>
      </c>
      <c r="B810" s="238">
        <v>88.09</v>
      </c>
      <c r="C810" s="47">
        <f t="shared" si="27"/>
        <v>-3.6195000565546476E-3</v>
      </c>
      <c r="E810" s="81"/>
      <c r="F810" s="82"/>
      <c r="G810" s="81">
        <v>43937</v>
      </c>
      <c r="H810" s="82">
        <v>280.20999999999998</v>
      </c>
      <c r="I810" s="166">
        <f t="shared" si="26"/>
        <v>5.4540887724712217E-3</v>
      </c>
    </row>
    <row r="811" spans="1:9" ht="18">
      <c r="A811" s="237">
        <v>43980</v>
      </c>
      <c r="B811" s="238">
        <v>88.62</v>
      </c>
      <c r="C811" s="47">
        <f t="shared" si="27"/>
        <v>6.0165739584516764E-3</v>
      </c>
      <c r="E811" s="81"/>
      <c r="F811" s="82"/>
      <c r="G811" s="81">
        <v>43938</v>
      </c>
      <c r="H811" s="82">
        <v>281.02</v>
      </c>
      <c r="I811" s="166">
        <f t="shared" si="26"/>
        <v>2.8906891260125356E-3</v>
      </c>
    </row>
    <row r="812" spans="1:9" ht="18">
      <c r="A812" s="237">
        <v>43981</v>
      </c>
      <c r="B812" s="238">
        <v>89.05</v>
      </c>
      <c r="C812" s="47">
        <f t="shared" si="27"/>
        <v>4.8521778379597702E-3</v>
      </c>
      <c r="E812" s="173"/>
      <c r="F812" s="82"/>
      <c r="G812" s="81">
        <v>43939</v>
      </c>
      <c r="H812" s="82">
        <v>277.82</v>
      </c>
      <c r="I812" s="166">
        <f t="shared" si="26"/>
        <v>-1.1387089886840784E-2</v>
      </c>
    </row>
    <row r="813" spans="1:9" ht="18">
      <c r="A813" s="237">
        <v>43984</v>
      </c>
      <c r="B813" s="238">
        <v>89.09</v>
      </c>
      <c r="C813" s="47">
        <f t="shared" si="27"/>
        <v>4.4918585064568362E-4</v>
      </c>
      <c r="E813" s="81"/>
      <c r="F813" s="82"/>
      <c r="G813" s="81">
        <v>43942</v>
      </c>
      <c r="H813" s="82">
        <v>279.23</v>
      </c>
      <c r="I813" s="166">
        <f t="shared" si="26"/>
        <v>5.0752285652582163E-3</v>
      </c>
    </row>
    <row r="814" spans="1:9" ht="18">
      <c r="A814" s="237">
        <v>43985</v>
      </c>
      <c r="B814" s="238">
        <v>89.15</v>
      </c>
      <c r="C814" s="47">
        <f t="shared" si="27"/>
        <v>6.7347625996183602E-4</v>
      </c>
      <c r="E814" s="81"/>
      <c r="F814" s="82"/>
      <c r="G814" s="81">
        <v>43943</v>
      </c>
      <c r="H814" s="82">
        <v>281.38</v>
      </c>
      <c r="I814" s="166">
        <f t="shared" si="26"/>
        <v>7.6997457293270788E-3</v>
      </c>
    </row>
    <row r="815" spans="1:9" ht="18">
      <c r="A815" s="237">
        <v>43986</v>
      </c>
      <c r="B815" s="238">
        <v>89.39</v>
      </c>
      <c r="C815" s="47">
        <f t="shared" si="27"/>
        <v>2.6920919798092413E-3</v>
      </c>
      <c r="E815" s="81"/>
      <c r="F815" s="82"/>
      <c r="G815" s="81">
        <v>43944</v>
      </c>
      <c r="H815" s="82">
        <v>284.66000000000003</v>
      </c>
      <c r="I815" s="166">
        <f t="shared" si="26"/>
        <v>1.1656834174426089E-2</v>
      </c>
    </row>
    <row r="816" spans="1:9" ht="18">
      <c r="A816" s="237">
        <v>43987</v>
      </c>
      <c r="B816" s="238">
        <v>89.18</v>
      </c>
      <c r="C816" s="47">
        <f t="shared" si="27"/>
        <v>-2.3492560689114539E-3</v>
      </c>
      <c r="E816" s="81"/>
      <c r="F816" s="82"/>
      <c r="G816" s="81">
        <v>43945</v>
      </c>
      <c r="H816" s="82">
        <v>283.95999999999998</v>
      </c>
      <c r="I816" s="166">
        <f t="shared" si="26"/>
        <v>-2.459073982997384E-3</v>
      </c>
    </row>
    <row r="817" spans="1:9" ht="18">
      <c r="A817" s="237">
        <v>43988</v>
      </c>
      <c r="B817" s="238">
        <v>88.48</v>
      </c>
      <c r="C817" s="47">
        <f t="shared" si="27"/>
        <v>-7.8492935635793293E-3</v>
      </c>
      <c r="E817" s="81"/>
      <c r="F817" s="82"/>
      <c r="G817" s="81">
        <v>43946</v>
      </c>
      <c r="H817" s="82">
        <v>287.24</v>
      </c>
      <c r="I817" s="166">
        <f t="shared" si="26"/>
        <v>1.1550922665164221E-2</v>
      </c>
    </row>
    <row r="818" spans="1:9" ht="18">
      <c r="A818" s="237">
        <v>43991</v>
      </c>
      <c r="B818" s="238">
        <v>88.46</v>
      </c>
      <c r="C818" s="47">
        <f t="shared" si="27"/>
        <v>-2.2603978300195227E-4</v>
      </c>
      <c r="E818" s="81"/>
      <c r="F818" s="82"/>
      <c r="G818" s="81">
        <v>43949</v>
      </c>
      <c r="H818" s="82">
        <v>290.11</v>
      </c>
      <c r="I818" s="166">
        <f t="shared" si="26"/>
        <v>9.9916446177412688E-3</v>
      </c>
    </row>
    <row r="819" spans="1:9" ht="18">
      <c r="A819" s="237">
        <v>43992</v>
      </c>
      <c r="B819" s="238">
        <v>88.8</v>
      </c>
      <c r="C819" s="47">
        <f t="shared" si="27"/>
        <v>3.8435451051324065E-3</v>
      </c>
      <c r="E819" s="81"/>
      <c r="F819" s="82"/>
      <c r="G819" s="81">
        <v>43950</v>
      </c>
      <c r="H819" s="82">
        <v>288.70999999999998</v>
      </c>
      <c r="I819" s="166">
        <f t="shared" si="26"/>
        <v>-4.8257557478199598E-3</v>
      </c>
    </row>
    <row r="820" spans="1:9" ht="18">
      <c r="A820" s="237">
        <v>43993</v>
      </c>
      <c r="B820" s="238">
        <v>89.15</v>
      </c>
      <c r="C820" s="47">
        <f t="shared" si="27"/>
        <v>3.9414414414415955E-3</v>
      </c>
      <c r="E820" s="81"/>
      <c r="F820" s="82"/>
      <c r="G820" s="81">
        <v>43951</v>
      </c>
      <c r="H820" s="82">
        <v>288.62</v>
      </c>
      <c r="I820" s="166">
        <f t="shared" si="26"/>
        <v>-3.1173149527197186E-4</v>
      </c>
    </row>
    <row r="821" spans="1:9" ht="18">
      <c r="A821" s="237">
        <v>43994</v>
      </c>
      <c r="B821" s="238">
        <v>89.39</v>
      </c>
      <c r="C821" s="47">
        <f t="shared" si="27"/>
        <v>2.6920919798092413E-3</v>
      </c>
      <c r="E821" s="81"/>
      <c r="F821" s="82"/>
      <c r="G821" s="81">
        <v>43952</v>
      </c>
      <c r="H821" s="82">
        <v>290.66000000000003</v>
      </c>
      <c r="I821" s="166">
        <f t="shared" si="26"/>
        <v>7.0681172475921539E-3</v>
      </c>
    </row>
    <row r="822" spans="1:9" ht="18">
      <c r="A822" s="237">
        <v>43995</v>
      </c>
      <c r="B822" s="238">
        <v>89.28</v>
      </c>
      <c r="C822" s="47">
        <f t="shared" si="27"/>
        <v>-1.2305627027631161E-3</v>
      </c>
      <c r="E822" s="81"/>
      <c r="F822" s="82"/>
      <c r="G822" s="81">
        <v>43953</v>
      </c>
      <c r="H822" s="82">
        <v>292.85000000000002</v>
      </c>
      <c r="I822" s="166">
        <f t="shared" si="26"/>
        <v>7.5345764811118876E-3</v>
      </c>
    </row>
    <row r="823" spans="1:9" ht="18">
      <c r="A823" s="237">
        <v>43998</v>
      </c>
      <c r="B823" s="238">
        <v>89.01</v>
      </c>
      <c r="C823" s="47">
        <f t="shared" si="27"/>
        <v>-3.0241935483870108E-3</v>
      </c>
      <c r="E823" s="81"/>
      <c r="F823" s="82"/>
      <c r="G823" s="81">
        <v>43956</v>
      </c>
      <c r="H823" s="82">
        <v>294.23</v>
      </c>
      <c r="I823" s="166">
        <f t="shared" si="26"/>
        <v>4.7123100563428721E-3</v>
      </c>
    </row>
    <row r="824" spans="1:9" ht="18">
      <c r="A824" s="237">
        <v>43999</v>
      </c>
      <c r="B824" s="238">
        <v>89.6</v>
      </c>
      <c r="C824" s="47">
        <f t="shared" si="27"/>
        <v>6.6284687113806751E-3</v>
      </c>
      <c r="E824" s="81"/>
      <c r="F824" s="82"/>
      <c r="G824" s="81">
        <v>43957</v>
      </c>
      <c r="H824" s="82">
        <v>293.47000000000003</v>
      </c>
      <c r="I824" s="166">
        <f t="shared" si="26"/>
        <v>-2.5830132889236301E-3</v>
      </c>
    </row>
    <row r="825" spans="1:9" ht="18">
      <c r="A825" s="237">
        <v>44001</v>
      </c>
      <c r="B825" s="238">
        <v>89.27</v>
      </c>
      <c r="C825" s="47">
        <f t="shared" si="27"/>
        <v>-3.6830357142857428E-3</v>
      </c>
      <c r="E825" s="81"/>
      <c r="F825" s="82"/>
      <c r="G825" s="81">
        <v>43958</v>
      </c>
      <c r="H825" s="82">
        <v>292.92</v>
      </c>
      <c r="I825" s="166">
        <f t="shared" si="26"/>
        <v>-1.8741268272737255E-3</v>
      </c>
    </row>
    <row r="826" spans="1:9" ht="18">
      <c r="A826" s="237">
        <v>44002</v>
      </c>
      <c r="B826" s="238">
        <v>89.38</v>
      </c>
      <c r="C826" s="47">
        <f t="shared" si="27"/>
        <v>1.2322168701690561E-3</v>
      </c>
      <c r="E826" s="81"/>
      <c r="F826" s="82"/>
      <c r="G826" s="81">
        <v>43959</v>
      </c>
      <c r="H826" s="82">
        <v>292.31</v>
      </c>
      <c r="I826" s="166">
        <f t="shared" si="26"/>
        <v>-2.0824798579817116E-3</v>
      </c>
    </row>
    <row r="827" spans="1:9" ht="18">
      <c r="A827" s="237">
        <v>44005</v>
      </c>
      <c r="B827" s="238">
        <v>89.42</v>
      </c>
      <c r="C827" s="47">
        <f t="shared" si="27"/>
        <v>4.4752741105402727E-4</v>
      </c>
      <c r="E827" s="81"/>
      <c r="F827" s="82"/>
      <c r="G827" s="81">
        <v>43960</v>
      </c>
      <c r="H827" s="82">
        <v>294.27999999999997</v>
      </c>
      <c r="I827" s="166">
        <f t="shared" si="26"/>
        <v>6.7394204782593725E-3</v>
      </c>
    </row>
    <row r="828" spans="1:9" ht="18">
      <c r="A828" s="237">
        <v>44006</v>
      </c>
      <c r="B828" s="238">
        <v>89.41</v>
      </c>
      <c r="C828" s="47">
        <f t="shared" si="27"/>
        <v>-1.1183180496543432E-4</v>
      </c>
      <c r="E828" s="81"/>
      <c r="F828" s="82"/>
      <c r="G828" s="81">
        <v>43963</v>
      </c>
      <c r="H828" s="82">
        <v>295.85000000000002</v>
      </c>
      <c r="I828" s="166">
        <f t="shared" si="26"/>
        <v>5.3350550496127358E-3</v>
      </c>
    </row>
    <row r="829" spans="1:9" ht="18">
      <c r="A829" s="237">
        <v>44007</v>
      </c>
      <c r="B829" s="238">
        <v>89.11</v>
      </c>
      <c r="C829" s="47">
        <f t="shared" si="27"/>
        <v>-3.3553293815009599E-3</v>
      </c>
      <c r="E829" s="81"/>
      <c r="F829" s="82"/>
      <c r="G829" s="81">
        <v>43964</v>
      </c>
      <c r="H829" s="82">
        <v>296.77</v>
      </c>
      <c r="I829" s="166">
        <f t="shared" si="26"/>
        <v>3.1096839614668248E-3</v>
      </c>
    </row>
    <row r="830" spans="1:9" ht="18">
      <c r="A830" s="237">
        <v>44008</v>
      </c>
      <c r="B830" s="238">
        <v>89.19</v>
      </c>
      <c r="C830" s="47">
        <f t="shared" si="27"/>
        <v>8.9776680507225315E-4</v>
      </c>
      <c r="E830" s="81"/>
      <c r="F830" s="82"/>
      <c r="G830" s="81">
        <v>43965</v>
      </c>
      <c r="H830" s="82">
        <v>298.22000000000003</v>
      </c>
      <c r="I830" s="166">
        <f t="shared" si="26"/>
        <v>4.8859386056543386E-3</v>
      </c>
    </row>
    <row r="831" spans="1:9" ht="18">
      <c r="A831" s="237">
        <v>44009</v>
      </c>
      <c r="B831" s="238">
        <v>88.48</v>
      </c>
      <c r="C831" s="47">
        <f t="shared" si="27"/>
        <v>-7.9605336921179104E-3</v>
      </c>
      <c r="E831" s="81"/>
      <c r="F831" s="82"/>
      <c r="G831" s="81">
        <v>43966</v>
      </c>
      <c r="H831" s="82">
        <v>301.06</v>
      </c>
      <c r="I831" s="166">
        <f t="shared" si="26"/>
        <v>9.523170813493298E-3</v>
      </c>
    </row>
    <row r="832" spans="1:9" ht="18">
      <c r="A832" s="237">
        <v>44012</v>
      </c>
      <c r="B832" s="238">
        <v>87.75</v>
      </c>
      <c r="C832" s="47">
        <f t="shared" si="27"/>
        <v>-8.2504520795660952E-3</v>
      </c>
      <c r="E832" s="81"/>
      <c r="F832" s="82"/>
      <c r="G832" s="81">
        <v>43967</v>
      </c>
      <c r="H832" s="82">
        <v>302.56</v>
      </c>
      <c r="I832" s="166">
        <f t="shared" si="26"/>
        <v>4.9823955357735095E-3</v>
      </c>
    </row>
    <row r="833" spans="1:9" ht="18">
      <c r="A833" s="237">
        <v>44013</v>
      </c>
      <c r="B833" s="238">
        <v>88.18</v>
      </c>
      <c r="C833" s="47">
        <f t="shared" si="27"/>
        <v>4.9002849002850457E-3</v>
      </c>
      <c r="E833" s="81"/>
      <c r="F833" s="82"/>
      <c r="G833" s="81">
        <v>43970</v>
      </c>
      <c r="H833" s="82">
        <v>302.94</v>
      </c>
      <c r="I833" s="166">
        <f t="shared" si="26"/>
        <v>1.2559492332098188E-3</v>
      </c>
    </row>
    <row r="834" spans="1:9" ht="18">
      <c r="A834" s="237">
        <v>44014</v>
      </c>
      <c r="B834" s="238">
        <v>88.87</v>
      </c>
      <c r="C834" s="47">
        <f t="shared" si="27"/>
        <v>7.8249036062598698E-3</v>
      </c>
      <c r="E834" s="81"/>
      <c r="F834" s="82"/>
      <c r="G834" s="81">
        <v>43971</v>
      </c>
      <c r="H834" s="82">
        <v>301.33</v>
      </c>
      <c r="I834" s="166">
        <f t="shared" si="26"/>
        <v>-5.3145837459563916E-3</v>
      </c>
    </row>
    <row r="835" spans="1:9" ht="18">
      <c r="A835" s="237">
        <v>44016</v>
      </c>
      <c r="B835" s="238">
        <v>89.45</v>
      </c>
      <c r="C835" s="47">
        <f t="shared" si="27"/>
        <v>6.5263868572071893E-3</v>
      </c>
      <c r="E835" s="81"/>
      <c r="F835" s="82"/>
      <c r="G835" s="81">
        <v>43972</v>
      </c>
      <c r="H835" s="82">
        <v>301.77</v>
      </c>
      <c r="I835" s="166">
        <f t="shared" si="26"/>
        <v>1.4601931437294713E-3</v>
      </c>
    </row>
    <row r="836" spans="1:9" ht="18">
      <c r="A836" s="237">
        <v>44019</v>
      </c>
      <c r="B836" s="238">
        <v>89.43</v>
      </c>
      <c r="C836" s="47">
        <f t="shared" si="27"/>
        <v>-2.2358859698146105E-4</v>
      </c>
      <c r="E836" s="81"/>
      <c r="F836" s="82"/>
      <c r="G836" s="81">
        <v>43973</v>
      </c>
      <c r="H836" s="82">
        <v>300.47000000000003</v>
      </c>
      <c r="I836" s="166">
        <f t="shared" si="26"/>
        <v>-4.3079166252442125E-3</v>
      </c>
    </row>
    <row r="837" spans="1:9" ht="18">
      <c r="A837" s="237">
        <v>44020</v>
      </c>
      <c r="B837" s="238">
        <v>89.15</v>
      </c>
      <c r="C837" s="47">
        <f t="shared" si="27"/>
        <v>-3.1309404003131425E-3</v>
      </c>
      <c r="E837" s="81"/>
      <c r="F837" s="82"/>
      <c r="G837" s="81">
        <v>43974</v>
      </c>
      <c r="H837" s="82">
        <v>299.11</v>
      </c>
      <c r="I837" s="166">
        <f t="shared" si="26"/>
        <v>-4.526242220521226E-3</v>
      </c>
    </row>
    <row r="838" spans="1:9" ht="18">
      <c r="A838" s="237">
        <v>44021</v>
      </c>
      <c r="B838" s="238">
        <v>89.57</v>
      </c>
      <c r="C838" s="47">
        <f t="shared" si="27"/>
        <v>4.7111609646661723E-3</v>
      </c>
      <c r="E838" s="81"/>
      <c r="F838" s="82"/>
      <c r="G838" s="81">
        <v>43977</v>
      </c>
      <c r="H838" s="82">
        <v>300.54000000000002</v>
      </c>
      <c r="I838" s="166">
        <f t="shared" si="26"/>
        <v>4.780849854568503E-3</v>
      </c>
    </row>
    <row r="839" spans="1:9" ht="18">
      <c r="A839" s="237">
        <v>44022</v>
      </c>
      <c r="B839" s="238">
        <v>90.09</v>
      </c>
      <c r="C839" s="47">
        <f t="shared" si="27"/>
        <v>5.8055152394775877E-3</v>
      </c>
      <c r="E839" s="81"/>
      <c r="F839" s="82"/>
      <c r="G839" s="81">
        <v>43978</v>
      </c>
      <c r="H839" s="82">
        <v>299.63</v>
      </c>
      <c r="I839" s="166">
        <f t="shared" si="26"/>
        <v>-3.0278831436747478E-3</v>
      </c>
    </row>
    <row r="840" spans="1:9" ht="18">
      <c r="A840" s="237">
        <v>44023</v>
      </c>
      <c r="B840" s="238">
        <v>90.26</v>
      </c>
      <c r="C840" s="47">
        <f t="shared" si="27"/>
        <v>1.8870018870018601E-3</v>
      </c>
      <c r="E840" s="81"/>
      <c r="F840" s="82"/>
      <c r="G840" s="81">
        <v>43979</v>
      </c>
      <c r="H840" s="82">
        <v>296.22000000000003</v>
      </c>
      <c r="I840" s="166">
        <f t="shared" si="26"/>
        <v>-1.1380702866868986E-2</v>
      </c>
    </row>
    <row r="841" spans="1:9" ht="18">
      <c r="A841" s="237">
        <v>44026</v>
      </c>
      <c r="B841" s="238">
        <v>89.89</v>
      </c>
      <c r="C841" s="47">
        <f t="shared" si="27"/>
        <v>-4.099268779082732E-3</v>
      </c>
      <c r="E841" s="81"/>
      <c r="F841" s="82"/>
      <c r="G841" s="81">
        <v>43980</v>
      </c>
      <c r="H841" s="82">
        <v>293.13</v>
      </c>
      <c r="I841" s="166">
        <f t="shared" si="26"/>
        <v>-1.0431436094794466E-2</v>
      </c>
    </row>
    <row r="842" spans="1:9" ht="18">
      <c r="A842" s="237">
        <v>44027</v>
      </c>
      <c r="B842" s="238">
        <v>90.29</v>
      </c>
      <c r="C842" s="47">
        <f t="shared" si="27"/>
        <v>4.4498831905663838E-3</v>
      </c>
      <c r="E842" s="81"/>
      <c r="F842" s="82"/>
      <c r="G842" s="81">
        <v>43981</v>
      </c>
      <c r="H842" s="82">
        <v>291.24</v>
      </c>
      <c r="I842" s="166">
        <f t="shared" si="26"/>
        <v>-6.447651212772465E-3</v>
      </c>
    </row>
    <row r="843" spans="1:9" ht="18">
      <c r="A843" s="237">
        <v>44028</v>
      </c>
      <c r="B843" s="238">
        <v>89.97</v>
      </c>
      <c r="C843" s="47">
        <f t="shared" si="27"/>
        <v>-3.5441355631853355E-3</v>
      </c>
      <c r="E843" s="81"/>
      <c r="F843" s="82"/>
      <c r="G843" s="81">
        <v>43984</v>
      </c>
      <c r="H843" s="82">
        <v>295.94</v>
      </c>
      <c r="I843" s="166">
        <f t="shared" si="26"/>
        <v>1.6137893146545679E-2</v>
      </c>
    </row>
    <row r="844" spans="1:9" ht="18">
      <c r="A844" s="237">
        <v>44029</v>
      </c>
      <c r="B844" s="238">
        <v>89.5</v>
      </c>
      <c r="C844" s="47">
        <f t="shared" si="27"/>
        <v>-5.223963543403376E-3</v>
      </c>
      <c r="E844" s="81"/>
      <c r="F844" s="82"/>
      <c r="G844" s="81">
        <v>43985</v>
      </c>
      <c r="H844" s="82">
        <v>290.33</v>
      </c>
      <c r="I844" s="166">
        <f t="shared" si="26"/>
        <v>-1.895654524565793E-2</v>
      </c>
    </row>
    <row r="845" spans="1:9" ht="18">
      <c r="A845" s="237">
        <v>44030</v>
      </c>
      <c r="B845" s="238">
        <v>89.26</v>
      </c>
      <c r="C845" s="47">
        <f t="shared" si="27"/>
        <v>-2.6815642458100086E-3</v>
      </c>
      <c r="E845" s="81"/>
      <c r="F845" s="82"/>
      <c r="G845" s="81">
        <v>43986</v>
      </c>
      <c r="H845" s="82">
        <v>292.82</v>
      </c>
      <c r="I845" s="166">
        <f t="shared" si="26"/>
        <v>8.5764474907863431E-3</v>
      </c>
    </row>
    <row r="846" spans="1:9" ht="18">
      <c r="A846" s="237">
        <v>44033</v>
      </c>
      <c r="B846" s="238">
        <v>89.66</v>
      </c>
      <c r="C846" s="47">
        <f t="shared" si="27"/>
        <v>4.4812906116959983E-3</v>
      </c>
      <c r="E846" s="81"/>
      <c r="F846" s="82"/>
      <c r="G846" s="81">
        <v>43987</v>
      </c>
      <c r="H846" s="82">
        <v>295.66000000000003</v>
      </c>
      <c r="I846" s="166">
        <f t="shared" si="26"/>
        <v>9.6987910661840981E-3</v>
      </c>
    </row>
    <row r="847" spans="1:9" ht="18">
      <c r="A847" s="237">
        <v>44034</v>
      </c>
      <c r="B847" s="238">
        <v>89.69</v>
      </c>
      <c r="C847" s="47">
        <f t="shared" si="27"/>
        <v>3.3459736783414407E-4</v>
      </c>
      <c r="E847" s="81"/>
      <c r="F847" s="82"/>
      <c r="G847" s="81">
        <v>43988</v>
      </c>
      <c r="H847" s="82">
        <v>295.47000000000003</v>
      </c>
      <c r="I847" s="166">
        <f t="shared" ref="I847:I910" si="28">H847/H846-1</f>
        <v>-6.4263004802811441E-4</v>
      </c>
    </row>
    <row r="848" spans="1:9" ht="18">
      <c r="A848" s="237">
        <v>44035</v>
      </c>
      <c r="B848" s="238">
        <v>89.11</v>
      </c>
      <c r="C848" s="47">
        <f t="shared" si="27"/>
        <v>-6.4667186977366287E-3</v>
      </c>
      <c r="E848" s="81"/>
      <c r="F848" s="82"/>
      <c r="G848" s="81">
        <v>43991</v>
      </c>
      <c r="H848" s="82">
        <v>295.45</v>
      </c>
      <c r="I848" s="166">
        <f t="shared" si="28"/>
        <v>-6.7688767049212117E-5</v>
      </c>
    </row>
    <row r="849" spans="1:9" ht="18">
      <c r="A849" s="237">
        <v>44036</v>
      </c>
      <c r="B849" s="238">
        <v>89.26</v>
      </c>
      <c r="C849" s="47">
        <f t="shared" si="27"/>
        <v>1.6833127595108355E-3</v>
      </c>
      <c r="E849" s="81"/>
      <c r="F849" s="82"/>
      <c r="G849" s="81">
        <v>43992</v>
      </c>
      <c r="H849" s="82">
        <v>294.31</v>
      </c>
      <c r="I849" s="166">
        <f t="shared" si="28"/>
        <v>-3.8585209003214604E-3</v>
      </c>
    </row>
    <row r="850" spans="1:9" ht="18">
      <c r="A850" s="237">
        <v>44037</v>
      </c>
      <c r="B850" s="238">
        <v>89.76</v>
      </c>
      <c r="C850" s="47">
        <f t="shared" si="27"/>
        <v>5.6016132646201644E-3</v>
      </c>
      <c r="E850" s="81"/>
      <c r="F850" s="82"/>
      <c r="G850" s="81">
        <v>43993</v>
      </c>
      <c r="H850" s="82">
        <v>294.97000000000003</v>
      </c>
      <c r="I850" s="166">
        <f t="shared" si="28"/>
        <v>2.2425333831674887E-3</v>
      </c>
    </row>
    <row r="851" spans="1:9" ht="18">
      <c r="A851" s="237">
        <v>44040</v>
      </c>
      <c r="B851" s="238">
        <v>89.91</v>
      </c>
      <c r="C851" s="47">
        <f t="shared" si="27"/>
        <v>1.6711229946522188E-3</v>
      </c>
      <c r="E851" s="81"/>
      <c r="F851" s="82"/>
      <c r="G851" s="81">
        <v>43994</v>
      </c>
      <c r="H851" s="82">
        <v>296.44</v>
      </c>
      <c r="I851" s="166">
        <f t="shared" si="28"/>
        <v>4.9835576499304146E-3</v>
      </c>
    </row>
    <row r="852" spans="1:9" ht="18">
      <c r="A852" s="237">
        <v>44041</v>
      </c>
      <c r="B852" s="238">
        <v>90.03</v>
      </c>
      <c r="C852" s="47">
        <f t="shared" si="27"/>
        <v>1.3346680013346379E-3</v>
      </c>
      <c r="E852" s="81"/>
      <c r="F852" s="82"/>
      <c r="G852" s="81">
        <v>43995</v>
      </c>
      <c r="H852" s="82">
        <v>297.02</v>
      </c>
      <c r="I852" s="166">
        <f t="shared" si="28"/>
        <v>1.9565510727297397E-3</v>
      </c>
    </row>
    <row r="853" spans="1:9" ht="18">
      <c r="A853" s="237">
        <v>44042</v>
      </c>
      <c r="B853" s="238">
        <v>90.45</v>
      </c>
      <c r="C853" s="47">
        <f t="shared" si="27"/>
        <v>4.6651116294569306E-3</v>
      </c>
      <c r="E853" s="81"/>
      <c r="F853" s="82"/>
      <c r="G853" s="81">
        <v>43998</v>
      </c>
      <c r="H853" s="82">
        <v>296.55</v>
      </c>
      <c r="I853" s="166">
        <f t="shared" si="28"/>
        <v>-1.5823850245774151E-3</v>
      </c>
    </row>
    <row r="854" spans="1:9" ht="18">
      <c r="A854" s="237">
        <v>44043</v>
      </c>
      <c r="B854" s="238">
        <v>90.01</v>
      </c>
      <c r="C854" s="47">
        <f t="shared" si="27"/>
        <v>-4.864566058595865E-3</v>
      </c>
      <c r="E854" s="81"/>
      <c r="F854" s="82"/>
      <c r="G854" s="81">
        <v>43999</v>
      </c>
      <c r="H854" s="82">
        <v>298.47000000000003</v>
      </c>
      <c r="I854" s="166">
        <f t="shared" si="28"/>
        <v>6.4744562468386224E-3</v>
      </c>
    </row>
    <row r="855" spans="1:9" ht="18">
      <c r="A855" s="237">
        <v>44044</v>
      </c>
      <c r="B855" s="238">
        <v>90.61</v>
      </c>
      <c r="C855" s="47">
        <f t="shared" ref="C855:C918" si="29">B855/B854-1</f>
        <v>6.6659260082211347E-3</v>
      </c>
      <c r="E855" s="81"/>
      <c r="F855" s="82"/>
      <c r="G855" s="81">
        <v>44000</v>
      </c>
      <c r="H855" s="82">
        <v>301.07</v>
      </c>
      <c r="I855" s="166">
        <f t="shared" si="28"/>
        <v>8.7110932422018728E-3</v>
      </c>
    </row>
    <row r="856" spans="1:9" ht="18">
      <c r="A856" s="237">
        <v>44047</v>
      </c>
      <c r="B856" s="238">
        <v>89.69</v>
      </c>
      <c r="C856" s="47">
        <f t="shared" si="29"/>
        <v>-1.0153404701467861E-2</v>
      </c>
      <c r="E856" s="81"/>
      <c r="F856" s="82"/>
      <c r="G856" s="81">
        <v>44001</v>
      </c>
      <c r="H856" s="82">
        <v>301.24</v>
      </c>
      <c r="I856" s="166">
        <f t="shared" si="28"/>
        <v>5.6465273856587395E-4</v>
      </c>
    </row>
    <row r="857" spans="1:9" ht="18">
      <c r="A857" s="237">
        <v>44048</v>
      </c>
      <c r="B857" s="238">
        <v>89.39</v>
      </c>
      <c r="C857" s="47">
        <f t="shared" si="29"/>
        <v>-3.3448544988292639E-3</v>
      </c>
      <c r="E857" s="81"/>
      <c r="F857" s="82"/>
      <c r="G857" s="81">
        <v>44002</v>
      </c>
      <c r="H857" s="82">
        <v>299.60000000000002</v>
      </c>
      <c r="I857" s="166">
        <f t="shared" si="28"/>
        <v>-5.4441641216305126E-3</v>
      </c>
    </row>
    <row r="858" spans="1:9" ht="18">
      <c r="A858" s="237">
        <v>44049</v>
      </c>
      <c r="B858" s="238">
        <v>89.58</v>
      </c>
      <c r="C858" s="47">
        <f t="shared" si="29"/>
        <v>2.1255173956817863E-3</v>
      </c>
      <c r="E858" s="81"/>
      <c r="F858" s="82"/>
      <c r="G858" s="81">
        <v>44005</v>
      </c>
      <c r="H858" s="82">
        <v>298.68</v>
      </c>
      <c r="I858" s="166">
        <f t="shared" si="28"/>
        <v>-3.0707610146862852E-3</v>
      </c>
    </row>
    <row r="859" spans="1:9" ht="18">
      <c r="A859" s="237">
        <v>44050</v>
      </c>
      <c r="B859" s="238">
        <v>90</v>
      </c>
      <c r="C859" s="47">
        <f t="shared" si="29"/>
        <v>4.6885465505692725E-3</v>
      </c>
      <c r="E859" s="81"/>
      <c r="F859" s="82"/>
      <c r="G859" s="81">
        <v>44006</v>
      </c>
      <c r="H859" s="82">
        <v>298.75</v>
      </c>
      <c r="I859" s="166">
        <f t="shared" si="28"/>
        <v>2.3436453729752671E-4</v>
      </c>
    </row>
    <row r="860" spans="1:9" ht="18">
      <c r="A860" s="237">
        <v>44051</v>
      </c>
      <c r="B860" s="238">
        <v>90.4</v>
      </c>
      <c r="C860" s="47">
        <f t="shared" si="29"/>
        <v>4.4444444444444731E-3</v>
      </c>
      <c r="E860" s="81"/>
      <c r="F860" s="82"/>
      <c r="G860" s="81">
        <v>44007</v>
      </c>
      <c r="H860" s="82">
        <v>298.88</v>
      </c>
      <c r="I860" s="166">
        <f t="shared" si="28"/>
        <v>4.3514644351461129E-4</v>
      </c>
    </row>
    <row r="861" spans="1:9" ht="18">
      <c r="A861" s="237">
        <v>44054</v>
      </c>
      <c r="B861" s="238">
        <v>90.5</v>
      </c>
      <c r="C861" s="47">
        <f t="shared" si="29"/>
        <v>1.1061946902655162E-3</v>
      </c>
      <c r="E861" s="81"/>
      <c r="F861" s="82"/>
      <c r="G861" s="81">
        <v>44008</v>
      </c>
      <c r="H861" s="82">
        <v>297.45</v>
      </c>
      <c r="I861" s="166">
        <f t="shared" si="28"/>
        <v>-4.7845289079229136E-3</v>
      </c>
    </row>
    <row r="862" spans="1:9" ht="18">
      <c r="A862" s="237">
        <v>44055</v>
      </c>
      <c r="B862" s="238">
        <v>90.99</v>
      </c>
      <c r="C862" s="47">
        <f t="shared" si="29"/>
        <v>5.4143646408839619E-3</v>
      </c>
      <c r="E862" s="81"/>
      <c r="F862" s="82"/>
      <c r="G862" s="81">
        <v>44009</v>
      </c>
      <c r="H862" s="82">
        <v>298.63</v>
      </c>
      <c r="I862" s="166">
        <f t="shared" si="28"/>
        <v>3.9670532862665642E-3</v>
      </c>
    </row>
    <row r="863" spans="1:9" ht="18">
      <c r="A863" s="237">
        <v>44056</v>
      </c>
      <c r="B863" s="238">
        <v>91.19</v>
      </c>
      <c r="C863" s="47">
        <f t="shared" si="29"/>
        <v>2.1980437410704656E-3</v>
      </c>
      <c r="E863" s="81"/>
      <c r="F863" s="82"/>
      <c r="G863" s="81">
        <v>44012</v>
      </c>
      <c r="H863" s="82">
        <v>298.98</v>
      </c>
      <c r="I863" s="166">
        <f t="shared" si="28"/>
        <v>1.1720188862471836E-3</v>
      </c>
    </row>
    <row r="864" spans="1:9" ht="18">
      <c r="A864" s="237">
        <v>44057</v>
      </c>
      <c r="B864" s="238">
        <v>91.16</v>
      </c>
      <c r="C864" s="47">
        <f t="shared" si="29"/>
        <v>-3.289834411668302E-4</v>
      </c>
      <c r="E864" s="81"/>
      <c r="F864" s="82"/>
      <c r="G864" s="81">
        <v>44013</v>
      </c>
      <c r="H864" s="82">
        <v>297.60000000000002</v>
      </c>
      <c r="I864" s="166">
        <f t="shared" si="28"/>
        <v>-4.6156933574151848E-3</v>
      </c>
    </row>
    <row r="865" spans="1:9" ht="18">
      <c r="A865" s="237">
        <v>44058</v>
      </c>
      <c r="B865" s="238">
        <v>91.53</v>
      </c>
      <c r="C865" s="47">
        <f t="shared" si="29"/>
        <v>4.0587977182975354E-3</v>
      </c>
      <c r="E865" s="81"/>
      <c r="F865" s="82"/>
      <c r="G865" s="81">
        <v>44014</v>
      </c>
      <c r="H865" s="82">
        <v>300.83</v>
      </c>
      <c r="I865" s="166">
        <f t="shared" si="28"/>
        <v>1.0853494623655813E-2</v>
      </c>
    </row>
    <row r="866" spans="1:9" ht="18">
      <c r="A866" s="237">
        <v>44061</v>
      </c>
      <c r="B866" s="238">
        <v>91.81</v>
      </c>
      <c r="C866" s="47">
        <f t="shared" si="29"/>
        <v>3.0591063039440147E-3</v>
      </c>
      <c r="E866" s="81"/>
      <c r="F866" s="82"/>
      <c r="G866" s="81">
        <v>44015</v>
      </c>
      <c r="H866" s="82">
        <v>303.18</v>
      </c>
      <c r="I866" s="166">
        <f t="shared" si="28"/>
        <v>7.8117209054948678E-3</v>
      </c>
    </row>
    <row r="867" spans="1:9" ht="18">
      <c r="A867" s="237">
        <v>44062</v>
      </c>
      <c r="B867" s="238">
        <v>92.03</v>
      </c>
      <c r="C867" s="47">
        <f t="shared" si="29"/>
        <v>2.3962531314671853E-3</v>
      </c>
      <c r="E867" s="81"/>
      <c r="F867" s="82"/>
      <c r="G867" s="81">
        <v>44016</v>
      </c>
      <c r="H867" s="82">
        <v>302.88</v>
      </c>
      <c r="I867" s="166">
        <f t="shared" si="28"/>
        <v>-9.8951118147638795E-4</v>
      </c>
    </row>
    <row r="868" spans="1:9" ht="18">
      <c r="A868" s="237">
        <v>44063</v>
      </c>
      <c r="B868" s="238">
        <v>92.3</v>
      </c>
      <c r="C868" s="47">
        <f t="shared" si="29"/>
        <v>2.9338259263282929E-3</v>
      </c>
      <c r="E868" s="81"/>
      <c r="F868" s="82"/>
      <c r="G868" s="81">
        <v>44019</v>
      </c>
      <c r="H868" s="82">
        <v>303.25</v>
      </c>
      <c r="I868" s="166">
        <f t="shared" si="28"/>
        <v>1.2216059165346405E-3</v>
      </c>
    </row>
    <row r="869" spans="1:9" ht="18">
      <c r="A869" s="237">
        <v>44064</v>
      </c>
      <c r="B869" s="238">
        <v>91.53</v>
      </c>
      <c r="C869" s="47">
        <f t="shared" si="29"/>
        <v>-8.3423618634885788E-3</v>
      </c>
      <c r="E869" s="81"/>
      <c r="F869" s="82"/>
      <c r="G869" s="81">
        <v>44020</v>
      </c>
      <c r="H869" s="82">
        <v>304.38</v>
      </c>
      <c r="I869" s="166">
        <f t="shared" si="28"/>
        <v>3.7262984336356997E-3</v>
      </c>
    </row>
    <row r="870" spans="1:9" ht="18">
      <c r="A870" s="237">
        <v>44065</v>
      </c>
      <c r="B870" s="238">
        <v>92.52</v>
      </c>
      <c r="C870" s="47">
        <f t="shared" si="29"/>
        <v>1.0816125860373615E-2</v>
      </c>
      <c r="E870" s="81"/>
      <c r="F870" s="82"/>
      <c r="G870" s="81">
        <v>44021</v>
      </c>
      <c r="H870" s="82">
        <v>304.31</v>
      </c>
      <c r="I870" s="166">
        <f t="shared" si="28"/>
        <v>-2.2997568828431181E-4</v>
      </c>
    </row>
    <row r="871" spans="1:9" ht="18">
      <c r="A871" s="237">
        <v>44068</v>
      </c>
      <c r="B871" s="238">
        <v>92.33</v>
      </c>
      <c r="C871" s="47">
        <f t="shared" si="29"/>
        <v>-2.0536100302637195E-3</v>
      </c>
      <c r="E871" s="81"/>
      <c r="F871" s="82"/>
      <c r="G871" s="81">
        <v>44022</v>
      </c>
      <c r="H871" s="82">
        <v>307.86</v>
      </c>
      <c r="I871" s="166">
        <f t="shared" si="28"/>
        <v>1.1665735598567206E-2</v>
      </c>
    </row>
    <row r="872" spans="1:9" ht="18">
      <c r="A872" s="237">
        <v>44069</v>
      </c>
      <c r="B872" s="238">
        <v>92.21</v>
      </c>
      <c r="C872" s="47">
        <f t="shared" si="29"/>
        <v>-1.2996859092386792E-3</v>
      </c>
      <c r="E872" s="81"/>
      <c r="F872" s="82"/>
      <c r="G872" s="81">
        <v>44023</v>
      </c>
      <c r="H872" s="82">
        <v>308.16000000000003</v>
      </c>
      <c r="I872" s="166">
        <f t="shared" si="28"/>
        <v>9.7446891444175066E-4</v>
      </c>
    </row>
    <row r="873" spans="1:9" ht="18">
      <c r="A873" s="237">
        <v>44070</v>
      </c>
      <c r="B873" s="238">
        <v>92.06</v>
      </c>
      <c r="C873" s="47">
        <f t="shared" si="29"/>
        <v>-1.6267216137076934E-3</v>
      </c>
      <c r="E873" s="81"/>
      <c r="F873" s="82"/>
      <c r="G873" s="81">
        <v>44026</v>
      </c>
      <c r="H873" s="82">
        <v>307.23</v>
      </c>
      <c r="I873" s="166">
        <f t="shared" si="28"/>
        <v>-3.0179127725856736E-3</v>
      </c>
    </row>
    <row r="874" spans="1:9" ht="18">
      <c r="A874" s="237">
        <v>44071</v>
      </c>
      <c r="B874" s="238">
        <v>92.02</v>
      </c>
      <c r="C874" s="47">
        <f t="shared" si="29"/>
        <v>-4.344992396263514E-4</v>
      </c>
      <c r="E874" s="81"/>
      <c r="F874" s="82"/>
      <c r="G874" s="81">
        <v>44027</v>
      </c>
      <c r="H874" s="82">
        <v>306.58</v>
      </c>
      <c r="I874" s="166">
        <f t="shared" si="28"/>
        <v>-2.1156788074082611E-3</v>
      </c>
    </row>
    <row r="875" spans="1:9" ht="18">
      <c r="A875" s="237">
        <v>44072</v>
      </c>
      <c r="B875" s="238">
        <v>92.1</v>
      </c>
      <c r="C875" s="47">
        <f t="shared" si="29"/>
        <v>8.6937622256022529E-4</v>
      </c>
      <c r="E875" s="81"/>
      <c r="F875" s="82"/>
      <c r="G875" s="81">
        <v>44028</v>
      </c>
      <c r="H875" s="82">
        <v>305.27999999999997</v>
      </c>
      <c r="I875" s="166">
        <f t="shared" si="28"/>
        <v>-4.2403287885707242E-3</v>
      </c>
    </row>
    <row r="876" spans="1:9" ht="18">
      <c r="A876" s="237">
        <v>44076</v>
      </c>
      <c r="B876" s="238">
        <v>91.37</v>
      </c>
      <c r="C876" s="47">
        <f t="shared" si="29"/>
        <v>-7.9261672095547464E-3</v>
      </c>
      <c r="E876" s="81"/>
      <c r="F876" s="82"/>
      <c r="G876" s="81">
        <v>44029</v>
      </c>
      <c r="H876" s="82">
        <v>303.8</v>
      </c>
      <c r="I876" s="166">
        <f t="shared" si="28"/>
        <v>-4.8480083857440626E-3</v>
      </c>
    </row>
    <row r="877" spans="1:9" ht="18">
      <c r="A877" s="237">
        <v>44077</v>
      </c>
      <c r="B877" s="238">
        <v>91.78</v>
      </c>
      <c r="C877" s="47">
        <f t="shared" si="29"/>
        <v>4.4872496443033594E-3</v>
      </c>
      <c r="E877" s="81"/>
      <c r="F877" s="82"/>
      <c r="G877" s="81">
        <v>44030</v>
      </c>
      <c r="H877" s="82">
        <v>299.57</v>
      </c>
      <c r="I877" s="166">
        <f t="shared" si="28"/>
        <v>-1.3923633969716964E-2</v>
      </c>
    </row>
    <row r="878" spans="1:9" ht="18">
      <c r="A878" s="237">
        <v>44078</v>
      </c>
      <c r="B878" s="238">
        <v>92.13</v>
      </c>
      <c r="C878" s="47">
        <f t="shared" si="29"/>
        <v>3.8134669862714965E-3</v>
      </c>
      <c r="E878" s="81"/>
      <c r="F878" s="82"/>
      <c r="G878" s="81">
        <v>44033</v>
      </c>
      <c r="H878" s="82">
        <v>298.73</v>
      </c>
      <c r="I878" s="166">
        <f t="shared" si="28"/>
        <v>-2.8040190940347154E-3</v>
      </c>
    </row>
    <row r="879" spans="1:9" ht="18">
      <c r="A879" s="237">
        <v>44079</v>
      </c>
      <c r="B879" s="238">
        <v>91.92</v>
      </c>
      <c r="C879" s="47">
        <f t="shared" si="29"/>
        <v>-2.2793878215564556E-3</v>
      </c>
      <c r="E879" s="81"/>
      <c r="F879" s="82"/>
      <c r="G879" s="81">
        <v>44034</v>
      </c>
      <c r="H879" s="82">
        <v>298.70999999999998</v>
      </c>
      <c r="I879" s="166">
        <f t="shared" si="28"/>
        <v>-6.6950088709050171E-5</v>
      </c>
    </row>
    <row r="880" spans="1:9" ht="18">
      <c r="A880" s="237">
        <v>44082</v>
      </c>
      <c r="B880" s="238">
        <v>92.17</v>
      </c>
      <c r="C880" s="47">
        <f t="shared" si="29"/>
        <v>2.7197563098346755E-3</v>
      </c>
      <c r="E880" s="81"/>
      <c r="F880" s="82"/>
      <c r="G880" s="81">
        <v>44035</v>
      </c>
      <c r="H880" s="82">
        <v>297.89</v>
      </c>
      <c r="I880" s="166">
        <f t="shared" si="28"/>
        <v>-2.7451374242576376E-3</v>
      </c>
    </row>
    <row r="881" spans="1:9" ht="18">
      <c r="A881" s="237">
        <v>44083</v>
      </c>
      <c r="B881" s="238">
        <v>92.24</v>
      </c>
      <c r="C881" s="47">
        <f t="shared" si="29"/>
        <v>7.5946620375377805E-4</v>
      </c>
      <c r="E881" s="81"/>
      <c r="F881" s="82"/>
      <c r="G881" s="81">
        <v>44036</v>
      </c>
      <c r="H881" s="82">
        <v>296.36</v>
      </c>
      <c r="I881" s="166">
        <f t="shared" si="28"/>
        <v>-5.1361240726441881E-3</v>
      </c>
    </row>
    <row r="882" spans="1:9" ht="18">
      <c r="A882" s="237">
        <v>44084</v>
      </c>
      <c r="B882" s="238">
        <v>92.48</v>
      </c>
      <c r="C882" s="47">
        <f t="shared" si="29"/>
        <v>2.6019080659152038E-3</v>
      </c>
      <c r="E882" s="81"/>
      <c r="F882" s="82"/>
      <c r="G882" s="81">
        <v>44037</v>
      </c>
      <c r="H882" s="82">
        <v>295.99</v>
      </c>
      <c r="I882" s="166">
        <f t="shared" si="28"/>
        <v>-1.2484815764610691E-3</v>
      </c>
    </row>
    <row r="883" spans="1:9" ht="18">
      <c r="A883" s="237">
        <v>44085</v>
      </c>
      <c r="B883" s="238">
        <v>92.63</v>
      </c>
      <c r="C883" s="47">
        <f t="shared" si="29"/>
        <v>1.6219723183390489E-3</v>
      </c>
      <c r="E883" s="81"/>
      <c r="F883" s="82"/>
      <c r="G883" s="81">
        <v>44040</v>
      </c>
      <c r="H883" s="82">
        <v>296.47000000000003</v>
      </c>
      <c r="I883" s="166">
        <f t="shared" si="28"/>
        <v>1.6216764079868273E-3</v>
      </c>
    </row>
    <row r="884" spans="1:9" ht="18">
      <c r="A884" s="237">
        <v>44086</v>
      </c>
      <c r="B884" s="238">
        <v>93.05</v>
      </c>
      <c r="C884" s="47">
        <f t="shared" si="29"/>
        <v>4.5341681960489044E-3</v>
      </c>
      <c r="E884" s="81"/>
      <c r="F884" s="82"/>
      <c r="G884" s="81">
        <v>44041</v>
      </c>
      <c r="H884" s="82">
        <v>295.64999999999998</v>
      </c>
      <c r="I884" s="166">
        <f t="shared" si="28"/>
        <v>-2.765878503727337E-3</v>
      </c>
    </row>
    <row r="885" spans="1:9" ht="18">
      <c r="A885" s="237">
        <v>44089</v>
      </c>
      <c r="B885" s="238">
        <v>93.62</v>
      </c>
      <c r="C885" s="47">
        <f t="shared" si="29"/>
        <v>6.1257388500806087E-3</v>
      </c>
      <c r="E885" s="81"/>
      <c r="F885" s="82"/>
      <c r="G885" s="81">
        <v>44042</v>
      </c>
      <c r="H885" s="82">
        <v>298.63</v>
      </c>
      <c r="I885" s="166">
        <f t="shared" si="28"/>
        <v>1.0079485878572658E-2</v>
      </c>
    </row>
    <row r="886" spans="1:9" ht="18">
      <c r="A886" s="237">
        <v>44090</v>
      </c>
      <c r="B886" s="238">
        <v>93.6</v>
      </c>
      <c r="C886" s="47">
        <f t="shared" si="29"/>
        <v>-2.136295663320853E-4</v>
      </c>
      <c r="E886" s="81"/>
      <c r="F886" s="82"/>
      <c r="G886" s="81">
        <v>44043</v>
      </c>
      <c r="H886" s="82">
        <v>299.14999999999998</v>
      </c>
      <c r="I886" s="166">
        <f t="shared" si="28"/>
        <v>1.7412852024243364E-3</v>
      </c>
    </row>
    <row r="887" spans="1:9" ht="18">
      <c r="A887" s="237">
        <v>44091</v>
      </c>
      <c r="B887" s="238">
        <v>93.33</v>
      </c>
      <c r="C887" s="47">
        <f t="shared" si="29"/>
        <v>-2.8846153846153744E-3</v>
      </c>
      <c r="E887" s="81"/>
      <c r="F887" s="82"/>
      <c r="G887" s="81">
        <v>44044</v>
      </c>
      <c r="H887" s="82">
        <v>293.27999999999997</v>
      </c>
      <c r="I887" s="166">
        <f t="shared" si="28"/>
        <v>-1.9622263078723057E-2</v>
      </c>
    </row>
    <row r="888" spans="1:9" ht="18">
      <c r="A888" s="237">
        <v>44092</v>
      </c>
      <c r="B888" s="238">
        <v>93.74</v>
      </c>
      <c r="C888" s="47">
        <f t="shared" si="29"/>
        <v>4.3930140362156145E-3</v>
      </c>
      <c r="E888" s="81"/>
      <c r="F888" s="82"/>
      <c r="G888" s="81">
        <v>44047</v>
      </c>
      <c r="H888" s="82">
        <v>282.45999999999998</v>
      </c>
      <c r="I888" s="166">
        <f t="shared" si="28"/>
        <v>-3.6893071467539507E-2</v>
      </c>
    </row>
    <row r="889" spans="1:9" ht="18">
      <c r="A889" s="237">
        <v>44093</v>
      </c>
      <c r="B889" s="238">
        <v>93.56</v>
      </c>
      <c r="C889" s="47">
        <f t="shared" si="29"/>
        <v>-1.9202048218476264E-3</v>
      </c>
      <c r="E889" s="81"/>
      <c r="F889" s="82"/>
      <c r="G889" s="81">
        <v>44048</v>
      </c>
      <c r="H889" s="82">
        <v>285.2</v>
      </c>
      <c r="I889" s="166">
        <f t="shared" si="28"/>
        <v>9.7004885647524741E-3</v>
      </c>
    </row>
    <row r="890" spans="1:9" ht="18">
      <c r="A890" s="237">
        <v>44096</v>
      </c>
      <c r="B890" s="238">
        <v>93.29</v>
      </c>
      <c r="C890" s="47">
        <f t="shared" si="29"/>
        <v>-2.8858486532705729E-3</v>
      </c>
      <c r="E890" s="81"/>
      <c r="F890" s="82"/>
      <c r="G890" s="81">
        <v>44049</v>
      </c>
      <c r="H890" s="82">
        <v>290.67</v>
      </c>
      <c r="I890" s="166">
        <f t="shared" si="28"/>
        <v>1.9179523141655164E-2</v>
      </c>
    </row>
    <row r="891" spans="1:9" ht="18">
      <c r="A891" s="237">
        <v>44097</v>
      </c>
      <c r="B891" s="238">
        <v>93.41</v>
      </c>
      <c r="C891" s="47">
        <f t="shared" si="29"/>
        <v>1.2863115017685001E-3</v>
      </c>
      <c r="E891" s="81"/>
      <c r="F891" s="82"/>
      <c r="G891" s="81">
        <v>44050</v>
      </c>
      <c r="H891" s="82">
        <v>289.94</v>
      </c>
      <c r="I891" s="166">
        <f t="shared" si="28"/>
        <v>-2.5114390890013105E-3</v>
      </c>
    </row>
    <row r="892" spans="1:9" ht="18">
      <c r="A892" s="237">
        <v>44098</v>
      </c>
      <c r="B892" s="238">
        <v>93.13</v>
      </c>
      <c r="C892" s="47">
        <f t="shared" si="29"/>
        <v>-2.9975377368590683E-3</v>
      </c>
      <c r="E892" s="81"/>
      <c r="F892" s="82"/>
      <c r="G892" s="81">
        <v>44051</v>
      </c>
      <c r="H892" s="82">
        <v>293.97000000000003</v>
      </c>
      <c r="I892" s="166">
        <f t="shared" si="28"/>
        <v>1.3899427467751968E-2</v>
      </c>
    </row>
    <row r="893" spans="1:9" ht="18">
      <c r="A893" s="237">
        <v>44099</v>
      </c>
      <c r="B893" s="238">
        <v>93.26</v>
      </c>
      <c r="C893" s="47">
        <f t="shared" si="29"/>
        <v>1.3958982068078551E-3</v>
      </c>
      <c r="E893" s="81"/>
      <c r="F893" s="82"/>
      <c r="G893" s="81">
        <v>44054</v>
      </c>
      <c r="H893" s="82">
        <v>295.38</v>
      </c>
      <c r="I893" s="166">
        <f t="shared" si="28"/>
        <v>4.7964077967137531E-3</v>
      </c>
    </row>
    <row r="894" spans="1:9" ht="18">
      <c r="A894" s="237">
        <v>44100</v>
      </c>
      <c r="B894" s="238">
        <v>93.42</v>
      </c>
      <c r="C894" s="47">
        <f t="shared" si="29"/>
        <v>1.7156337122024024E-3</v>
      </c>
      <c r="E894" s="81"/>
      <c r="F894" s="82"/>
      <c r="G894" s="81">
        <v>44055</v>
      </c>
      <c r="H894" s="82">
        <v>295.64999999999998</v>
      </c>
      <c r="I894" s="166">
        <f t="shared" si="28"/>
        <v>9.1407678244959101E-4</v>
      </c>
    </row>
    <row r="895" spans="1:9" ht="18">
      <c r="A895" s="237">
        <v>44103</v>
      </c>
      <c r="B895" s="238">
        <v>93.58</v>
      </c>
      <c r="C895" s="47">
        <f t="shared" si="29"/>
        <v>1.7126953543138423E-3</v>
      </c>
      <c r="E895" s="81"/>
      <c r="F895" s="82"/>
      <c r="G895" s="81">
        <v>44056</v>
      </c>
      <c r="H895" s="82">
        <v>296.8</v>
      </c>
      <c r="I895" s="166">
        <f t="shared" si="28"/>
        <v>3.8897344833419556E-3</v>
      </c>
    </row>
    <row r="896" spans="1:9" ht="18">
      <c r="A896" s="237">
        <v>44104</v>
      </c>
      <c r="B896" s="238">
        <v>93.46</v>
      </c>
      <c r="C896" s="47">
        <f t="shared" si="29"/>
        <v>-1.2823252831801746E-3</v>
      </c>
      <c r="E896" s="81"/>
      <c r="F896" s="82"/>
      <c r="G896" s="81">
        <v>44057</v>
      </c>
      <c r="H896" s="82">
        <v>296.83999999999997</v>
      </c>
      <c r="I896" s="166">
        <f t="shared" si="28"/>
        <v>1.3477088948765648E-4</v>
      </c>
    </row>
    <row r="897" spans="1:9" ht="18">
      <c r="A897" s="237">
        <v>44105</v>
      </c>
      <c r="B897" s="238">
        <v>93.25</v>
      </c>
      <c r="C897" s="47">
        <f t="shared" si="29"/>
        <v>-2.2469505670874579E-3</v>
      </c>
      <c r="E897" s="81"/>
      <c r="F897" s="82"/>
      <c r="G897" s="81">
        <v>44058</v>
      </c>
      <c r="H897" s="82">
        <v>300.81</v>
      </c>
      <c r="I897" s="166">
        <f t="shared" si="28"/>
        <v>1.3374208327718629E-2</v>
      </c>
    </row>
    <row r="898" spans="1:9" ht="18">
      <c r="A898" s="237">
        <v>44106</v>
      </c>
      <c r="B898" s="238">
        <v>92.86</v>
      </c>
      <c r="C898" s="47">
        <f t="shared" si="29"/>
        <v>-4.1823056300268613E-3</v>
      </c>
      <c r="E898" s="81"/>
      <c r="F898" s="82"/>
      <c r="G898" s="81">
        <v>44061</v>
      </c>
      <c r="H898" s="82">
        <v>303.88</v>
      </c>
      <c r="I898" s="166">
        <f t="shared" si="28"/>
        <v>1.0205777733452992E-2</v>
      </c>
    </row>
    <row r="899" spans="1:9" ht="18">
      <c r="A899" s="237">
        <v>44107</v>
      </c>
      <c r="B899" s="238">
        <v>92.51</v>
      </c>
      <c r="C899" s="47">
        <f t="shared" si="29"/>
        <v>-3.7691147964676874E-3</v>
      </c>
      <c r="E899" s="81"/>
      <c r="F899" s="82"/>
      <c r="G899" s="81">
        <v>44062</v>
      </c>
      <c r="H899" s="82">
        <v>303.81</v>
      </c>
      <c r="I899" s="166">
        <f t="shared" si="28"/>
        <v>-2.3035408713967254E-4</v>
      </c>
    </row>
    <row r="900" spans="1:9" ht="18">
      <c r="A900" s="237">
        <v>44110</v>
      </c>
      <c r="B900" s="238">
        <v>92.09</v>
      </c>
      <c r="C900" s="47">
        <f t="shared" si="29"/>
        <v>-4.5400497243541782E-3</v>
      </c>
      <c r="E900" s="81"/>
      <c r="F900" s="82"/>
      <c r="G900" s="81">
        <v>44063</v>
      </c>
      <c r="H900" s="82">
        <v>303.13</v>
      </c>
      <c r="I900" s="166">
        <f t="shared" si="28"/>
        <v>-2.2382410058918722E-3</v>
      </c>
    </row>
    <row r="901" spans="1:9" ht="18">
      <c r="A901" s="237">
        <v>44111</v>
      </c>
      <c r="B901" s="238">
        <v>92.24</v>
      </c>
      <c r="C901" s="47">
        <f t="shared" si="29"/>
        <v>1.6288413508522837E-3</v>
      </c>
      <c r="E901" s="81"/>
      <c r="F901" s="82"/>
      <c r="G901" s="81">
        <v>44064</v>
      </c>
      <c r="H901" s="82">
        <v>302.77</v>
      </c>
      <c r="I901" s="166">
        <f t="shared" si="28"/>
        <v>-1.1876092765480406E-3</v>
      </c>
    </row>
    <row r="902" spans="1:9" ht="18">
      <c r="A902" s="237">
        <v>44112</v>
      </c>
      <c r="B902" s="238">
        <v>92.09</v>
      </c>
      <c r="C902" s="47">
        <f t="shared" si="29"/>
        <v>-1.6261925411967804E-3</v>
      </c>
      <c r="E902" s="81"/>
      <c r="F902" s="82"/>
      <c r="G902" s="81">
        <v>44065</v>
      </c>
      <c r="H902" s="82">
        <v>303.12</v>
      </c>
      <c r="I902" s="166">
        <f t="shared" si="28"/>
        <v>1.1559929979854111E-3</v>
      </c>
    </row>
    <row r="903" spans="1:9" ht="18">
      <c r="A903" s="237">
        <v>44113</v>
      </c>
      <c r="B903" s="238">
        <v>91.94</v>
      </c>
      <c r="C903" s="47">
        <f t="shared" si="29"/>
        <v>-1.6288413508525057E-3</v>
      </c>
      <c r="E903" s="81"/>
      <c r="F903" s="82"/>
      <c r="G903" s="81">
        <v>44068</v>
      </c>
      <c r="H903" s="82">
        <v>303.95</v>
      </c>
      <c r="I903" s="166">
        <f t="shared" si="28"/>
        <v>2.7381894959090936E-3</v>
      </c>
    </row>
    <row r="904" spans="1:9" ht="18">
      <c r="A904" s="237">
        <v>44114</v>
      </c>
      <c r="B904" s="238">
        <v>92.06</v>
      </c>
      <c r="C904" s="47">
        <f t="shared" si="29"/>
        <v>1.3051990428540883E-3</v>
      </c>
      <c r="E904" s="81"/>
      <c r="F904" s="82"/>
      <c r="G904" s="81">
        <v>44069</v>
      </c>
      <c r="H904" s="82">
        <v>303.19</v>
      </c>
      <c r="I904" s="166">
        <f t="shared" si="28"/>
        <v>-2.5004112518506316E-3</v>
      </c>
    </row>
    <row r="905" spans="1:9" ht="18">
      <c r="A905" s="237">
        <v>44117</v>
      </c>
      <c r="B905" s="238">
        <v>92.25</v>
      </c>
      <c r="C905" s="47">
        <f t="shared" si="29"/>
        <v>2.0638713882250581E-3</v>
      </c>
      <c r="E905" s="81"/>
      <c r="F905" s="82"/>
      <c r="G905" s="81">
        <v>44070</v>
      </c>
      <c r="H905" s="82">
        <v>302.45999999999998</v>
      </c>
      <c r="I905" s="166">
        <f t="shared" si="28"/>
        <v>-2.4077311256968104E-3</v>
      </c>
    </row>
    <row r="906" spans="1:9" ht="18">
      <c r="A906" s="237">
        <v>44118</v>
      </c>
      <c r="B906" s="238">
        <v>92.5</v>
      </c>
      <c r="C906" s="47">
        <f t="shared" si="29"/>
        <v>2.7100271002709064E-3</v>
      </c>
      <c r="E906" s="81"/>
      <c r="F906" s="82"/>
      <c r="G906" s="81">
        <v>44071</v>
      </c>
      <c r="H906" s="82">
        <v>302.17</v>
      </c>
      <c r="I906" s="166">
        <f t="shared" si="28"/>
        <v>-9.5880447001239766E-4</v>
      </c>
    </row>
    <row r="907" spans="1:9" ht="18">
      <c r="A907" s="237">
        <v>44119</v>
      </c>
      <c r="B907" s="238">
        <v>92.73</v>
      </c>
      <c r="C907" s="47">
        <f t="shared" si="29"/>
        <v>2.4864864864866387E-3</v>
      </c>
      <c r="E907" s="81"/>
      <c r="F907" s="82"/>
      <c r="G907" s="81">
        <v>44072</v>
      </c>
      <c r="H907" s="82">
        <v>303.82</v>
      </c>
      <c r="I907" s="166">
        <f t="shared" si="28"/>
        <v>5.4605023662175345E-3</v>
      </c>
    </row>
    <row r="908" spans="1:9" ht="18">
      <c r="A908" s="237">
        <v>44120</v>
      </c>
      <c r="B908" s="238">
        <v>92.14</v>
      </c>
      <c r="C908" s="47">
        <f t="shared" si="29"/>
        <v>-6.3625579639814411E-3</v>
      </c>
      <c r="E908" s="81"/>
      <c r="F908" s="82"/>
      <c r="G908" s="81">
        <v>44075</v>
      </c>
      <c r="H908" s="82">
        <v>302.55</v>
      </c>
      <c r="I908" s="166">
        <f t="shared" si="28"/>
        <v>-4.1801066420906752E-3</v>
      </c>
    </row>
    <row r="909" spans="1:9" ht="18">
      <c r="A909" s="237">
        <v>44121</v>
      </c>
      <c r="B909" s="238">
        <v>92.35</v>
      </c>
      <c r="C909" s="47">
        <f t="shared" si="29"/>
        <v>2.279140438463223E-3</v>
      </c>
      <c r="E909" s="81"/>
      <c r="F909" s="82"/>
      <c r="G909" s="81">
        <v>44076</v>
      </c>
      <c r="H909" s="82">
        <v>301.38</v>
      </c>
      <c r="I909" s="166">
        <f t="shared" si="28"/>
        <v>-3.8671294000992562E-3</v>
      </c>
    </row>
    <row r="910" spans="1:9" ht="18">
      <c r="A910" s="237">
        <v>44124</v>
      </c>
      <c r="B910" s="238">
        <v>91.44</v>
      </c>
      <c r="C910" s="47">
        <f t="shared" si="29"/>
        <v>-9.8538170005413317E-3</v>
      </c>
      <c r="E910" s="81"/>
      <c r="F910" s="82"/>
      <c r="G910" s="81">
        <v>44077</v>
      </c>
      <c r="H910" s="82">
        <v>297.86</v>
      </c>
      <c r="I910" s="166">
        <f t="shared" si="28"/>
        <v>-1.1679607140486992E-2</v>
      </c>
    </row>
    <row r="911" spans="1:9" ht="18">
      <c r="A911" s="237">
        <v>44125</v>
      </c>
      <c r="B911" s="238">
        <v>91.23</v>
      </c>
      <c r="C911" s="47">
        <f t="shared" si="29"/>
        <v>-2.2965879265091083E-3</v>
      </c>
      <c r="E911" s="81"/>
      <c r="F911" s="82"/>
      <c r="G911" s="81">
        <v>44078</v>
      </c>
      <c r="H911" s="82">
        <v>298.76</v>
      </c>
      <c r="I911" s="166">
        <f t="shared" ref="I911:I974" si="30">H911/H910-1</f>
        <v>3.0215537500839496E-3</v>
      </c>
    </row>
    <row r="912" spans="1:9" ht="18">
      <c r="A912" s="237">
        <v>44126</v>
      </c>
      <c r="B912" s="238">
        <v>90.89</v>
      </c>
      <c r="C912" s="47">
        <f t="shared" si="29"/>
        <v>-3.7268442398333823E-3</v>
      </c>
      <c r="E912" s="81"/>
      <c r="F912" s="82"/>
      <c r="G912" s="81">
        <v>44079</v>
      </c>
      <c r="H912" s="82">
        <v>298.63</v>
      </c>
      <c r="I912" s="166">
        <f t="shared" si="30"/>
        <v>-4.3513187843080559E-4</v>
      </c>
    </row>
    <row r="913" spans="1:9" ht="18">
      <c r="A913" s="237">
        <v>44127</v>
      </c>
      <c r="B913" s="238">
        <v>91.26</v>
      </c>
      <c r="C913" s="47">
        <f t="shared" si="29"/>
        <v>4.0708548795247435E-3</v>
      </c>
      <c r="E913" s="81"/>
      <c r="F913" s="82"/>
      <c r="G913" s="81">
        <v>44082</v>
      </c>
      <c r="H913" s="82">
        <v>295.64999999999998</v>
      </c>
      <c r="I913" s="166">
        <f t="shared" si="30"/>
        <v>-9.9789036600476111E-3</v>
      </c>
    </row>
    <row r="914" spans="1:9" ht="18">
      <c r="A914" s="237">
        <v>44128</v>
      </c>
      <c r="B914" s="238">
        <v>91.26</v>
      </c>
      <c r="C914" s="47">
        <f t="shared" si="29"/>
        <v>0</v>
      </c>
      <c r="E914" s="81"/>
      <c r="F914" s="82"/>
      <c r="G914" s="81">
        <v>44083</v>
      </c>
      <c r="H914" s="82">
        <v>295.77</v>
      </c>
      <c r="I914" s="166">
        <f t="shared" si="30"/>
        <v>4.058853373922755E-4</v>
      </c>
    </row>
    <row r="915" spans="1:9" ht="18">
      <c r="A915" s="237">
        <v>44131</v>
      </c>
      <c r="B915" s="238">
        <v>91.35</v>
      </c>
      <c r="C915" s="47">
        <f t="shared" si="29"/>
        <v>9.8619329388549559E-4</v>
      </c>
      <c r="E915" s="81"/>
      <c r="F915" s="82"/>
      <c r="G915" s="81">
        <v>44084</v>
      </c>
      <c r="H915" s="82">
        <v>294.67</v>
      </c>
      <c r="I915" s="166">
        <f t="shared" si="30"/>
        <v>-3.719106062142763E-3</v>
      </c>
    </row>
    <row r="916" spans="1:9" ht="18">
      <c r="A916" s="237">
        <v>44132</v>
      </c>
      <c r="B916" s="238">
        <v>91.56</v>
      </c>
      <c r="C916" s="47">
        <f t="shared" si="29"/>
        <v>2.2988505747127963E-3</v>
      </c>
      <c r="E916" s="81"/>
      <c r="F916" s="82"/>
      <c r="G916" s="81">
        <v>44085</v>
      </c>
      <c r="H916" s="82">
        <v>298.54000000000002</v>
      </c>
      <c r="I916" s="166">
        <f t="shared" si="30"/>
        <v>1.313333559575125E-2</v>
      </c>
    </row>
    <row r="917" spans="1:9" ht="18">
      <c r="A917" s="237">
        <v>44133</v>
      </c>
      <c r="B917" s="238">
        <v>91.46</v>
      </c>
      <c r="C917" s="47">
        <f t="shared" si="29"/>
        <v>-1.092179991262654E-3</v>
      </c>
      <c r="E917" s="81"/>
      <c r="F917" s="82"/>
      <c r="G917" s="81">
        <v>44086</v>
      </c>
      <c r="H917" s="82">
        <v>300.61</v>
      </c>
      <c r="I917" s="166">
        <f t="shared" si="30"/>
        <v>6.9337442218797563E-3</v>
      </c>
    </row>
    <row r="918" spans="1:9" ht="18">
      <c r="A918" s="237">
        <v>44134</v>
      </c>
      <c r="B918" s="238">
        <v>90.92</v>
      </c>
      <c r="C918" s="47">
        <f t="shared" si="29"/>
        <v>-5.9042204242291119E-3</v>
      </c>
      <c r="E918" s="81"/>
      <c r="F918" s="82"/>
      <c r="G918" s="81">
        <v>44089</v>
      </c>
      <c r="H918" s="82">
        <v>301.70999999999998</v>
      </c>
      <c r="I918" s="166">
        <f t="shared" si="30"/>
        <v>3.659226239978608E-3</v>
      </c>
    </row>
    <row r="919" spans="1:9" ht="18">
      <c r="A919" s="237">
        <v>44135</v>
      </c>
      <c r="B919" s="238">
        <v>90.14</v>
      </c>
      <c r="C919" s="47">
        <f t="shared" ref="C919:C982" si="31">B919/B918-1</f>
        <v>-8.5789705235371772E-3</v>
      </c>
      <c r="E919" s="81"/>
      <c r="F919" s="82"/>
      <c r="G919" s="81">
        <v>44090</v>
      </c>
      <c r="H919" s="82">
        <v>302.93</v>
      </c>
      <c r="I919" s="166">
        <f t="shared" si="30"/>
        <v>4.0436180438170322E-3</v>
      </c>
    </row>
    <row r="920" spans="1:9" ht="18">
      <c r="A920" s="237">
        <v>44138</v>
      </c>
      <c r="B920" s="238">
        <v>90.53</v>
      </c>
      <c r="C920" s="47">
        <f t="shared" si="31"/>
        <v>4.3266030619037998E-3</v>
      </c>
      <c r="E920" s="81"/>
      <c r="F920" s="82"/>
      <c r="G920" s="81">
        <v>44091</v>
      </c>
      <c r="H920" s="82">
        <v>301.92</v>
      </c>
      <c r="I920" s="166">
        <f t="shared" si="30"/>
        <v>-3.3341035882876735E-3</v>
      </c>
    </row>
    <row r="921" spans="1:9" ht="18">
      <c r="A921" s="237">
        <v>44139</v>
      </c>
      <c r="B921" s="238">
        <v>90.81</v>
      </c>
      <c r="C921" s="47">
        <f t="shared" si="31"/>
        <v>3.0928973820834038E-3</v>
      </c>
      <c r="E921" s="81"/>
      <c r="F921" s="82"/>
      <c r="G921" s="81">
        <v>44092</v>
      </c>
      <c r="H921" s="82">
        <v>305.64</v>
      </c>
      <c r="I921" s="166">
        <f t="shared" si="30"/>
        <v>1.2321144674085849E-2</v>
      </c>
    </row>
    <row r="922" spans="1:9" ht="18">
      <c r="A922" s="237">
        <v>44140</v>
      </c>
      <c r="B922" s="238">
        <v>90.52</v>
      </c>
      <c r="C922" s="47">
        <f t="shared" si="31"/>
        <v>-3.193480894174705E-3</v>
      </c>
      <c r="E922" s="81"/>
      <c r="F922" s="82"/>
      <c r="G922" s="81">
        <v>44093</v>
      </c>
      <c r="H922" s="82">
        <v>306.99</v>
      </c>
      <c r="I922" s="166">
        <f t="shared" si="30"/>
        <v>4.4169611307420809E-3</v>
      </c>
    </row>
    <row r="923" spans="1:9" ht="18">
      <c r="A923" s="237">
        <v>44141</v>
      </c>
      <c r="B923" s="238">
        <v>91.51</v>
      </c>
      <c r="C923" s="47">
        <f t="shared" si="31"/>
        <v>1.09368095448521E-2</v>
      </c>
      <c r="E923" s="81"/>
      <c r="F923" s="82"/>
      <c r="G923" s="81">
        <v>44096</v>
      </c>
      <c r="H923" s="82">
        <v>308.14</v>
      </c>
      <c r="I923" s="166">
        <f t="shared" si="30"/>
        <v>3.7460503599464623E-3</v>
      </c>
    </row>
    <row r="924" spans="1:9" ht="18">
      <c r="A924" s="237">
        <v>44142</v>
      </c>
      <c r="B924" s="238">
        <v>91.76</v>
      </c>
      <c r="C924" s="47">
        <f t="shared" si="31"/>
        <v>2.7319418642770543E-3</v>
      </c>
      <c r="E924" s="81"/>
      <c r="F924" s="82"/>
      <c r="G924" s="81">
        <v>44097</v>
      </c>
      <c r="H924" s="82">
        <v>313.72000000000003</v>
      </c>
      <c r="I924" s="166">
        <f t="shared" si="30"/>
        <v>1.8108651911469043E-2</v>
      </c>
    </row>
    <row r="925" spans="1:9" ht="18">
      <c r="A925" s="237">
        <v>44145</v>
      </c>
      <c r="B925" s="238">
        <v>91.57</v>
      </c>
      <c r="C925" s="47">
        <f t="shared" si="31"/>
        <v>-2.0706190061030583E-3</v>
      </c>
      <c r="E925" s="81"/>
      <c r="F925" s="82"/>
      <c r="G925" s="81">
        <v>44098</v>
      </c>
      <c r="H925" s="82">
        <v>315.52</v>
      </c>
      <c r="I925" s="166">
        <f t="shared" si="30"/>
        <v>5.7376004080069709E-3</v>
      </c>
    </row>
    <row r="926" spans="1:9" ht="18">
      <c r="A926" s="237">
        <v>44146</v>
      </c>
      <c r="B926" s="238">
        <v>90.86</v>
      </c>
      <c r="C926" s="47">
        <f t="shared" si="31"/>
        <v>-7.7536311018892023E-3</v>
      </c>
      <c r="E926" s="81"/>
      <c r="F926" s="82"/>
      <c r="G926" s="81">
        <v>44099</v>
      </c>
      <c r="H926" s="82">
        <v>321.58999999999997</v>
      </c>
      <c r="I926" s="166">
        <f t="shared" si="30"/>
        <v>1.9238083164300201E-2</v>
      </c>
    </row>
    <row r="927" spans="1:9" ht="18">
      <c r="A927" s="237">
        <v>44147</v>
      </c>
      <c r="B927" s="238">
        <v>90.73</v>
      </c>
      <c r="C927" s="47">
        <f t="shared" si="31"/>
        <v>-1.4307726172132496E-3</v>
      </c>
      <c r="E927" s="81"/>
      <c r="F927" s="82"/>
      <c r="G927" s="81">
        <v>44100</v>
      </c>
      <c r="H927" s="82">
        <v>325.35000000000002</v>
      </c>
      <c r="I927" s="166">
        <f t="shared" si="30"/>
        <v>1.169190584284352E-2</v>
      </c>
    </row>
    <row r="928" spans="1:9" ht="18">
      <c r="A928" s="237">
        <v>44148</v>
      </c>
      <c r="B928" s="238">
        <v>90.5</v>
      </c>
      <c r="C928" s="47">
        <f t="shared" si="31"/>
        <v>-2.5349939380580055E-3</v>
      </c>
      <c r="E928" s="81"/>
      <c r="F928" s="82"/>
      <c r="G928" s="81">
        <v>44103</v>
      </c>
      <c r="H928" s="82">
        <v>326.56</v>
      </c>
      <c r="I928" s="166">
        <f t="shared" si="30"/>
        <v>3.7190717688642128E-3</v>
      </c>
    </row>
    <row r="929" spans="1:9" ht="18">
      <c r="A929" s="237">
        <v>44149</v>
      </c>
      <c r="B929" s="238">
        <v>90.37</v>
      </c>
      <c r="C929" s="47">
        <f t="shared" si="31"/>
        <v>-1.4364640883977042E-3</v>
      </c>
      <c r="E929" s="81"/>
      <c r="F929" s="82"/>
      <c r="G929" s="81">
        <v>44104</v>
      </c>
      <c r="H929" s="82">
        <v>326.77999999999997</v>
      </c>
      <c r="I929" s="166">
        <f t="shared" si="30"/>
        <v>6.7368936795686452E-4</v>
      </c>
    </row>
    <row r="930" spans="1:9" ht="18">
      <c r="A930" s="237">
        <v>44152</v>
      </c>
      <c r="B930" s="238">
        <v>90.48</v>
      </c>
      <c r="C930" s="47">
        <f t="shared" si="31"/>
        <v>1.2172181033529572E-3</v>
      </c>
      <c r="E930" s="81"/>
      <c r="F930" s="82"/>
      <c r="G930" s="81">
        <v>44105</v>
      </c>
      <c r="H930" s="82">
        <v>331.34</v>
      </c>
      <c r="I930" s="166">
        <f t="shared" si="30"/>
        <v>1.3954342371014228E-2</v>
      </c>
    </row>
    <row r="931" spans="1:9" ht="18">
      <c r="A931" s="237">
        <v>44153</v>
      </c>
      <c r="B931" s="238">
        <v>90.91</v>
      </c>
      <c r="C931" s="47">
        <f t="shared" si="31"/>
        <v>4.7524314765692299E-3</v>
      </c>
      <c r="E931" s="81"/>
      <c r="F931" s="82"/>
      <c r="G931" s="81">
        <v>44106</v>
      </c>
      <c r="H931" s="82">
        <v>326.83999999999997</v>
      </c>
      <c r="I931" s="166">
        <f t="shared" si="30"/>
        <v>-1.3581215669704827E-2</v>
      </c>
    </row>
    <row r="932" spans="1:9" ht="18">
      <c r="A932" s="237">
        <v>44154</v>
      </c>
      <c r="B932" s="238">
        <v>90.92</v>
      </c>
      <c r="C932" s="47">
        <f t="shared" si="31"/>
        <v>1.0999890001106571E-4</v>
      </c>
      <c r="E932" s="81"/>
      <c r="F932" s="82"/>
      <c r="G932" s="81">
        <v>44107</v>
      </c>
      <c r="H932" s="82">
        <v>328.42</v>
      </c>
      <c r="I932" s="166">
        <f t="shared" si="30"/>
        <v>4.8341696242810706E-3</v>
      </c>
    </row>
    <row r="933" spans="1:9" ht="18">
      <c r="A933" s="237">
        <v>44155</v>
      </c>
      <c r="B933" s="238">
        <v>90.96</v>
      </c>
      <c r="C933" s="47">
        <f t="shared" si="31"/>
        <v>4.3994720633522277E-4</v>
      </c>
      <c r="E933" s="81"/>
      <c r="F933" s="82"/>
      <c r="G933" s="81">
        <v>44110</v>
      </c>
      <c r="H933" s="82">
        <v>329.27</v>
      </c>
      <c r="I933" s="166">
        <f t="shared" si="30"/>
        <v>2.5881493209913842E-3</v>
      </c>
    </row>
    <row r="934" spans="1:9" ht="18">
      <c r="A934" s="237">
        <v>44156</v>
      </c>
      <c r="B934" s="238">
        <v>90.85</v>
      </c>
      <c r="C934" s="47">
        <f t="shared" si="31"/>
        <v>-1.2093227792435712E-3</v>
      </c>
      <c r="E934" s="81"/>
      <c r="F934" s="82"/>
      <c r="G934" s="81">
        <v>44111</v>
      </c>
      <c r="H934" s="82">
        <v>323.20999999999998</v>
      </c>
      <c r="I934" s="166">
        <f t="shared" si="30"/>
        <v>-1.8404349014486621E-2</v>
      </c>
    </row>
    <row r="935" spans="1:9" ht="18">
      <c r="A935" s="237">
        <v>44159</v>
      </c>
      <c r="B935" s="238">
        <v>91.7</v>
      </c>
      <c r="C935" s="47">
        <f t="shared" si="31"/>
        <v>9.3560814529445313E-3</v>
      </c>
      <c r="E935" s="81"/>
      <c r="F935" s="82"/>
      <c r="G935" s="81">
        <v>44112</v>
      </c>
      <c r="H935" s="82">
        <v>319.89999999999998</v>
      </c>
      <c r="I935" s="166">
        <f t="shared" si="30"/>
        <v>-1.0241019770427906E-2</v>
      </c>
    </row>
    <row r="936" spans="1:9" ht="18">
      <c r="A936" s="237">
        <v>44160</v>
      </c>
      <c r="B936" s="238">
        <v>91.57</v>
      </c>
      <c r="C936" s="47">
        <f t="shared" si="31"/>
        <v>-1.4176663031626457E-3</v>
      </c>
      <c r="E936" s="81"/>
      <c r="F936" s="82"/>
      <c r="G936" s="81">
        <v>44113</v>
      </c>
      <c r="H936" s="82">
        <v>322.12</v>
      </c>
      <c r="I936" s="166">
        <f t="shared" si="30"/>
        <v>6.939668646452013E-3</v>
      </c>
    </row>
    <row r="937" spans="1:9" ht="18">
      <c r="A937" s="237">
        <v>44161</v>
      </c>
      <c r="B937" s="238">
        <v>91.89</v>
      </c>
      <c r="C937" s="47">
        <f t="shared" si="31"/>
        <v>3.494594299443099E-3</v>
      </c>
      <c r="E937" s="81"/>
      <c r="F937" s="82"/>
      <c r="G937" s="81">
        <v>44114</v>
      </c>
      <c r="H937" s="82">
        <v>323.19</v>
      </c>
      <c r="I937" s="166">
        <f t="shared" si="30"/>
        <v>3.3217434496459752E-3</v>
      </c>
    </row>
    <row r="938" spans="1:9" ht="18">
      <c r="A938" s="237">
        <v>44163</v>
      </c>
      <c r="B938" s="238">
        <v>92.15</v>
      </c>
      <c r="C938" s="47">
        <f t="shared" si="31"/>
        <v>2.829470018500535E-3</v>
      </c>
      <c r="E938" s="81"/>
      <c r="F938" s="82"/>
      <c r="G938" s="81">
        <v>44117</v>
      </c>
      <c r="H938" s="82">
        <v>322.75</v>
      </c>
      <c r="I938" s="166">
        <f t="shared" si="30"/>
        <v>-1.3614282620130203E-3</v>
      </c>
    </row>
    <row r="939" spans="1:9" ht="18">
      <c r="A939" s="237">
        <v>44166</v>
      </c>
      <c r="B939" s="238">
        <v>91.66</v>
      </c>
      <c r="C939" s="47">
        <f t="shared" si="31"/>
        <v>-5.3174172544765419E-3</v>
      </c>
      <c r="E939" s="81"/>
      <c r="F939" s="82"/>
      <c r="G939" s="81">
        <v>44118</v>
      </c>
      <c r="H939" s="82">
        <v>319.76</v>
      </c>
      <c r="I939" s="166">
        <f t="shared" si="30"/>
        <v>-9.2641363284275968E-3</v>
      </c>
    </row>
    <row r="940" spans="1:9" ht="18">
      <c r="A940" s="237">
        <v>44167</v>
      </c>
      <c r="B940" s="238">
        <v>91.68</v>
      </c>
      <c r="C940" s="47">
        <f t="shared" si="31"/>
        <v>2.1819768710473753E-4</v>
      </c>
      <c r="E940" s="81"/>
      <c r="F940" s="82"/>
      <c r="G940" s="81">
        <v>44119</v>
      </c>
      <c r="H940" s="82">
        <v>319.02999999999997</v>
      </c>
      <c r="I940" s="166">
        <f t="shared" si="30"/>
        <v>-2.2829622216663514E-3</v>
      </c>
    </row>
    <row r="941" spans="1:9" ht="18">
      <c r="A941" s="237">
        <v>44168</v>
      </c>
      <c r="B941" s="238">
        <v>92.02</v>
      </c>
      <c r="C941" s="47">
        <f t="shared" si="31"/>
        <v>3.7085514834205302E-3</v>
      </c>
      <c r="E941" s="81"/>
      <c r="F941" s="82"/>
      <c r="G941" s="81">
        <v>44120</v>
      </c>
      <c r="H941" s="82">
        <v>316.54000000000002</v>
      </c>
      <c r="I941" s="166">
        <f t="shared" si="30"/>
        <v>-7.8049086292824033E-3</v>
      </c>
    </row>
    <row r="942" spans="1:9" ht="18">
      <c r="A942" s="237">
        <v>44169</v>
      </c>
      <c r="B942" s="238">
        <v>92.14</v>
      </c>
      <c r="C942" s="47">
        <f t="shared" si="31"/>
        <v>1.304064333840449E-3</v>
      </c>
      <c r="E942" s="81"/>
      <c r="F942" s="82"/>
      <c r="G942" s="81">
        <v>44121</v>
      </c>
      <c r="H942" s="82">
        <v>322.13</v>
      </c>
      <c r="I942" s="166">
        <f t="shared" si="30"/>
        <v>1.7659695457130198E-2</v>
      </c>
    </row>
    <row r="943" spans="1:9" ht="18">
      <c r="A943" s="237">
        <v>44170</v>
      </c>
      <c r="B943" s="238">
        <v>92.45</v>
      </c>
      <c r="C943" s="47">
        <f t="shared" si="31"/>
        <v>3.3644454091599219E-3</v>
      </c>
      <c r="E943" s="81"/>
      <c r="F943" s="82"/>
      <c r="G943" s="81">
        <v>44124</v>
      </c>
      <c r="H943" s="82">
        <v>320.47000000000003</v>
      </c>
      <c r="I943" s="166">
        <f t="shared" si="30"/>
        <v>-5.1531990190294419E-3</v>
      </c>
    </row>
    <row r="944" spans="1:9" ht="18">
      <c r="A944" s="237">
        <v>44173</v>
      </c>
      <c r="B944" s="238">
        <v>92.24</v>
      </c>
      <c r="C944" s="47">
        <f t="shared" si="31"/>
        <v>-2.271498107085046E-3</v>
      </c>
      <c r="E944" s="81"/>
      <c r="F944" s="82"/>
      <c r="G944" s="81">
        <v>44125</v>
      </c>
      <c r="H944" s="82">
        <v>318.94</v>
      </c>
      <c r="I944" s="166">
        <f t="shared" si="30"/>
        <v>-4.7742378381753214E-3</v>
      </c>
    </row>
    <row r="945" spans="1:9" ht="18">
      <c r="A945" s="237">
        <v>44174</v>
      </c>
      <c r="B945" s="238">
        <v>92.09</v>
      </c>
      <c r="C945" s="47">
        <f t="shared" si="31"/>
        <v>-1.6261925411967804E-3</v>
      </c>
      <c r="E945" s="81"/>
      <c r="F945" s="82"/>
      <c r="G945" s="81">
        <v>44126</v>
      </c>
      <c r="H945" s="82">
        <v>318.5</v>
      </c>
      <c r="I945" s="166">
        <f t="shared" si="30"/>
        <v>-1.3795698250455013E-3</v>
      </c>
    </row>
    <row r="946" spans="1:9" ht="18">
      <c r="A946" s="237">
        <v>44175</v>
      </c>
      <c r="B946" s="238">
        <v>92.04</v>
      </c>
      <c r="C946" s="47">
        <f t="shared" si="31"/>
        <v>-5.4294711695079823E-4</v>
      </c>
      <c r="E946" s="81"/>
      <c r="F946" s="82"/>
      <c r="G946" s="81">
        <v>44127</v>
      </c>
      <c r="H946" s="82">
        <v>316.70999999999998</v>
      </c>
      <c r="I946" s="166">
        <f t="shared" si="30"/>
        <v>-5.620094191522873E-3</v>
      </c>
    </row>
    <row r="947" spans="1:9" ht="18">
      <c r="A947" s="237">
        <v>44176</v>
      </c>
      <c r="B947" s="238">
        <v>91.56</v>
      </c>
      <c r="C947" s="47">
        <f t="shared" si="31"/>
        <v>-5.2151238591916504E-3</v>
      </c>
      <c r="E947" s="81"/>
      <c r="F947" s="82"/>
      <c r="G947" s="81">
        <v>44128</v>
      </c>
      <c r="H947" s="82">
        <v>316.75</v>
      </c>
      <c r="I947" s="166">
        <f t="shared" si="30"/>
        <v>1.2629850652023933E-4</v>
      </c>
    </row>
    <row r="948" spans="1:9" ht="18">
      <c r="A948" s="237">
        <v>44177</v>
      </c>
      <c r="B948" s="238">
        <v>91.09</v>
      </c>
      <c r="C948" s="47">
        <f t="shared" si="31"/>
        <v>-5.1332459589340518E-3</v>
      </c>
      <c r="E948" s="81"/>
      <c r="F948" s="82"/>
      <c r="G948" s="81">
        <v>44131</v>
      </c>
      <c r="H948" s="82">
        <v>317.5</v>
      </c>
      <c r="I948" s="166">
        <f t="shared" si="30"/>
        <v>2.3677979479084232E-3</v>
      </c>
    </row>
    <row r="949" spans="1:9" ht="18">
      <c r="A949" s="237">
        <v>44180</v>
      </c>
      <c r="B949" s="238">
        <v>91.17</v>
      </c>
      <c r="C949" s="47">
        <f t="shared" si="31"/>
        <v>8.7825227796689553E-4</v>
      </c>
      <c r="E949" s="81"/>
      <c r="F949" s="82"/>
      <c r="G949" s="81">
        <v>44132</v>
      </c>
      <c r="H949" s="82">
        <v>316.75</v>
      </c>
      <c r="I949" s="166">
        <f t="shared" si="30"/>
        <v>-2.3622047244094002E-3</v>
      </c>
    </row>
    <row r="950" spans="1:9" ht="18">
      <c r="A950" s="237">
        <v>44181</v>
      </c>
      <c r="B950" s="238">
        <v>91.12</v>
      </c>
      <c r="C950" s="47">
        <f t="shared" si="31"/>
        <v>-5.4842601733018359E-4</v>
      </c>
      <c r="E950" s="81"/>
      <c r="F950" s="82"/>
      <c r="G950" s="81">
        <v>44133</v>
      </c>
      <c r="H950" s="82">
        <v>314.75</v>
      </c>
      <c r="I950" s="166">
        <f t="shared" si="30"/>
        <v>-6.3141278610892027E-3</v>
      </c>
    </row>
    <row r="951" spans="1:9" ht="18">
      <c r="A951" s="237">
        <v>44182</v>
      </c>
      <c r="B951" s="238">
        <v>89.33</v>
      </c>
      <c r="C951" s="47">
        <f t="shared" si="31"/>
        <v>-1.964442493415286E-2</v>
      </c>
      <c r="E951" s="81"/>
      <c r="F951" s="82"/>
      <c r="G951" s="81">
        <v>44134</v>
      </c>
      <c r="H951" s="82">
        <v>313.97000000000003</v>
      </c>
      <c r="I951" s="166">
        <f t="shared" si="30"/>
        <v>-2.4781572676726427E-3</v>
      </c>
    </row>
    <row r="952" spans="1:9" ht="18">
      <c r="A952" s="237">
        <v>44183</v>
      </c>
      <c r="B952" s="238">
        <v>88.94</v>
      </c>
      <c r="C952" s="47">
        <f t="shared" si="31"/>
        <v>-4.3658345460652059E-3</v>
      </c>
      <c r="E952" s="81"/>
      <c r="F952" s="82"/>
      <c r="G952" s="81">
        <v>44135</v>
      </c>
      <c r="H952" s="82">
        <v>314.74</v>
      </c>
      <c r="I952" s="166">
        <f t="shared" si="30"/>
        <v>2.4524636111729059E-3</v>
      </c>
    </row>
    <row r="953" spans="1:9" ht="18">
      <c r="A953" s="237">
        <v>44184</v>
      </c>
      <c r="B953" s="238">
        <v>89.56</v>
      </c>
      <c r="C953" s="47">
        <f t="shared" si="31"/>
        <v>6.9709916797842109E-3</v>
      </c>
      <c r="E953" s="81"/>
      <c r="F953" s="82"/>
      <c r="G953" s="81">
        <v>44138</v>
      </c>
      <c r="H953" s="82">
        <v>315.72000000000003</v>
      </c>
      <c r="I953" s="166">
        <f t="shared" si="30"/>
        <v>3.1136811336340831E-3</v>
      </c>
    </row>
    <row r="954" spans="1:9" ht="18">
      <c r="A954" s="237">
        <v>44187</v>
      </c>
      <c r="B954" s="238">
        <v>89.33</v>
      </c>
      <c r="C954" s="47">
        <f t="shared" si="31"/>
        <v>-2.5681107637338663E-3</v>
      </c>
      <c r="E954" s="81"/>
      <c r="F954" s="82"/>
      <c r="G954" s="81">
        <v>44139</v>
      </c>
      <c r="H954" s="82">
        <v>319.02</v>
      </c>
      <c r="I954" s="166">
        <f t="shared" si="30"/>
        <v>1.0452299505891105E-2</v>
      </c>
    </row>
    <row r="955" spans="1:9" ht="18">
      <c r="A955" s="237">
        <v>44188</v>
      </c>
      <c r="B955" s="238">
        <v>89.73</v>
      </c>
      <c r="C955" s="47">
        <f t="shared" si="31"/>
        <v>4.4777790216052882E-3</v>
      </c>
      <c r="E955" s="81"/>
      <c r="F955" s="82"/>
      <c r="G955" s="81">
        <v>44140</v>
      </c>
      <c r="H955" s="82">
        <v>317.91000000000003</v>
      </c>
      <c r="I955" s="166">
        <f t="shared" si="30"/>
        <v>-3.4794056798945761E-3</v>
      </c>
    </row>
    <row r="956" spans="1:9" ht="18">
      <c r="A956" s="237">
        <v>44190</v>
      </c>
      <c r="B956" s="238">
        <v>89.64</v>
      </c>
      <c r="C956" s="47">
        <f t="shared" si="31"/>
        <v>-1.0030090270812808E-3</v>
      </c>
      <c r="E956" s="81"/>
      <c r="F956" s="82"/>
      <c r="G956" s="81">
        <v>44141</v>
      </c>
      <c r="H956" s="82">
        <v>320.57</v>
      </c>
      <c r="I956" s="166">
        <f t="shared" si="30"/>
        <v>8.367147934950081E-3</v>
      </c>
    </row>
    <row r="957" spans="1:9" ht="18">
      <c r="A957" s="237">
        <v>44191</v>
      </c>
      <c r="B957" s="238">
        <v>89.3</v>
      </c>
      <c r="C957" s="47">
        <f t="shared" si="31"/>
        <v>-3.7929495760821164E-3</v>
      </c>
      <c r="E957" s="81"/>
      <c r="F957" s="82"/>
      <c r="G957" s="81">
        <v>44142</v>
      </c>
      <c r="H957" s="82">
        <v>318.7</v>
      </c>
      <c r="I957" s="166">
        <f t="shared" si="30"/>
        <v>-5.8333593286957752E-3</v>
      </c>
    </row>
    <row r="958" spans="1:9" ht="18">
      <c r="A958" s="237">
        <v>44194</v>
      </c>
      <c r="B958" s="238">
        <v>89.21</v>
      </c>
      <c r="C958" s="47">
        <f t="shared" si="31"/>
        <v>-1.0078387458006821E-3</v>
      </c>
      <c r="E958" s="81"/>
      <c r="F958" s="82"/>
      <c r="G958" s="81">
        <v>44145</v>
      </c>
      <c r="H958" s="82">
        <v>316.68</v>
      </c>
      <c r="I958" s="166">
        <f t="shared" si="30"/>
        <v>-6.3382491371194449E-3</v>
      </c>
    </row>
    <row r="959" spans="1:9" ht="18">
      <c r="A959" s="237">
        <v>44195</v>
      </c>
      <c r="B959" s="238">
        <v>89.04</v>
      </c>
      <c r="C959" s="47">
        <f t="shared" si="31"/>
        <v>-1.9056159623359603E-3</v>
      </c>
      <c r="E959" s="81"/>
      <c r="F959" s="82"/>
      <c r="G959" s="81">
        <v>44146</v>
      </c>
      <c r="H959" s="82">
        <v>310.99</v>
      </c>
      <c r="I959" s="166">
        <f t="shared" si="30"/>
        <v>-1.7967664519388693E-2</v>
      </c>
    </row>
    <row r="960" spans="1:9" ht="18">
      <c r="A960" s="237">
        <v>44197</v>
      </c>
      <c r="B960" s="238">
        <v>89.34</v>
      </c>
      <c r="C960" s="47">
        <f t="shared" si="31"/>
        <v>3.369272237196741E-3</v>
      </c>
      <c r="E960" s="81"/>
      <c r="F960" s="82"/>
      <c r="G960" s="81">
        <v>44147</v>
      </c>
      <c r="H960" s="82">
        <v>308.83999999999997</v>
      </c>
      <c r="I960" s="166">
        <f t="shared" si="30"/>
        <v>-6.9134055757420487E-3</v>
      </c>
    </row>
    <row r="961" spans="1:9" ht="18">
      <c r="A961" s="237">
        <v>44198</v>
      </c>
      <c r="B961" s="238">
        <v>89.5</v>
      </c>
      <c r="C961" s="47">
        <f t="shared" si="31"/>
        <v>1.7909111260352439E-3</v>
      </c>
      <c r="E961" s="81"/>
      <c r="F961" s="82"/>
      <c r="G961" s="81">
        <v>44148</v>
      </c>
      <c r="H961" s="82">
        <v>306</v>
      </c>
      <c r="I961" s="166">
        <f t="shared" si="30"/>
        <v>-9.1957000388549481E-3</v>
      </c>
    </row>
    <row r="962" spans="1:9" ht="18">
      <c r="A962" s="237">
        <v>44201</v>
      </c>
      <c r="B962" s="238">
        <v>89.54</v>
      </c>
      <c r="C962" s="47">
        <f t="shared" si="31"/>
        <v>4.4692737430174212E-4</v>
      </c>
      <c r="E962" s="81"/>
      <c r="F962" s="82"/>
      <c r="G962" s="81">
        <v>44149</v>
      </c>
      <c r="H962" s="82">
        <v>305.55</v>
      </c>
      <c r="I962" s="166">
        <f t="shared" si="30"/>
        <v>-1.4705882352941124E-3</v>
      </c>
    </row>
    <row r="963" spans="1:9" ht="18">
      <c r="A963" s="237">
        <v>44202</v>
      </c>
      <c r="B963" s="238">
        <v>89.18</v>
      </c>
      <c r="C963" s="47">
        <f t="shared" si="31"/>
        <v>-4.0205494750948922E-3</v>
      </c>
      <c r="E963" s="81"/>
      <c r="F963" s="82"/>
      <c r="G963" s="81">
        <v>44152</v>
      </c>
      <c r="H963" s="82">
        <v>305.42</v>
      </c>
      <c r="I963" s="166">
        <f t="shared" si="30"/>
        <v>-4.2546228113238271E-4</v>
      </c>
    </row>
    <row r="964" spans="1:9" ht="18">
      <c r="A964" s="237">
        <v>44203</v>
      </c>
      <c r="B964" s="238">
        <v>89.25</v>
      </c>
      <c r="C964" s="47">
        <f t="shared" si="31"/>
        <v>7.8492935635776639E-4</v>
      </c>
      <c r="E964" s="81"/>
      <c r="F964" s="82"/>
      <c r="G964" s="81">
        <v>44153</v>
      </c>
      <c r="H964" s="82">
        <v>307.5</v>
      </c>
      <c r="I964" s="166">
        <f t="shared" si="30"/>
        <v>6.8102940213476959E-3</v>
      </c>
    </row>
    <row r="965" spans="1:9" ht="18">
      <c r="A965" s="237">
        <v>44205</v>
      </c>
      <c r="B965" s="238">
        <v>88.77</v>
      </c>
      <c r="C965" s="47">
        <f t="shared" si="31"/>
        <v>-5.378151260504227E-3</v>
      </c>
      <c r="E965" s="81"/>
      <c r="F965" s="82"/>
      <c r="G965" s="81">
        <v>44154</v>
      </c>
      <c r="H965" s="82">
        <v>307.39</v>
      </c>
      <c r="I965" s="166">
        <f t="shared" si="30"/>
        <v>-3.5772357723584669E-4</v>
      </c>
    </row>
    <row r="966" spans="1:9" ht="18">
      <c r="A966" s="237">
        <v>44208</v>
      </c>
      <c r="B966" s="238">
        <v>88.64</v>
      </c>
      <c r="C966" s="47">
        <f t="shared" si="31"/>
        <v>-1.464458713529293E-3</v>
      </c>
      <c r="E966" s="81"/>
      <c r="F966" s="82"/>
      <c r="G966" s="81">
        <v>44155</v>
      </c>
      <c r="H966" s="82">
        <v>305.14999999999998</v>
      </c>
      <c r="I966" s="166">
        <f t="shared" si="30"/>
        <v>-7.2871596343407896E-3</v>
      </c>
    </row>
    <row r="967" spans="1:9" ht="18">
      <c r="A967" s="237">
        <v>44209</v>
      </c>
      <c r="B967" s="238">
        <v>88.77</v>
      </c>
      <c r="C967" s="47">
        <f t="shared" si="31"/>
        <v>1.4666064981949667E-3</v>
      </c>
      <c r="E967" s="81"/>
      <c r="F967" s="82"/>
      <c r="G967" s="81">
        <v>44156</v>
      </c>
      <c r="H967" s="82">
        <v>305.14999999999998</v>
      </c>
      <c r="I967" s="166">
        <f t="shared" si="30"/>
        <v>0</v>
      </c>
    </row>
    <row r="968" spans="1:9" ht="18">
      <c r="A968" s="237">
        <v>44210</v>
      </c>
      <c r="B968" s="238">
        <v>89.79</v>
      </c>
      <c r="C968" s="47">
        <f t="shared" si="31"/>
        <v>1.1490368367691906E-2</v>
      </c>
      <c r="E968" s="81"/>
      <c r="F968" s="82"/>
      <c r="G968" s="81">
        <v>44159</v>
      </c>
      <c r="H968" s="82">
        <v>306.66000000000003</v>
      </c>
      <c r="I968" s="166">
        <f t="shared" si="30"/>
        <v>4.9483860396528634E-3</v>
      </c>
    </row>
    <row r="969" spans="1:9" ht="18">
      <c r="A969" s="237">
        <v>44211</v>
      </c>
      <c r="B969" s="238">
        <v>89.68</v>
      </c>
      <c r="C969" s="47">
        <f t="shared" si="31"/>
        <v>-1.2250807439581068E-3</v>
      </c>
      <c r="E969" s="81"/>
      <c r="F969" s="82"/>
      <c r="G969" s="81">
        <v>44160</v>
      </c>
      <c r="H969" s="82">
        <v>305.33</v>
      </c>
      <c r="I969" s="166">
        <f t="shared" si="30"/>
        <v>-4.3370508054524359E-3</v>
      </c>
    </row>
    <row r="970" spans="1:9" ht="18">
      <c r="A970" s="237">
        <v>44212</v>
      </c>
      <c r="B970" s="238">
        <v>89.85</v>
      </c>
      <c r="C970" s="47">
        <f t="shared" si="31"/>
        <v>1.8956289027651785E-3</v>
      </c>
      <c r="E970" s="81"/>
      <c r="F970" s="82"/>
      <c r="G970" s="81">
        <v>44161</v>
      </c>
      <c r="H970" s="82">
        <v>306.08</v>
      </c>
      <c r="I970" s="166">
        <f t="shared" si="30"/>
        <v>2.4563586938721738E-3</v>
      </c>
    </row>
    <row r="971" spans="1:9" ht="18">
      <c r="A971" s="237">
        <v>44216</v>
      </c>
      <c r="B971" s="238">
        <v>90.46</v>
      </c>
      <c r="C971" s="47">
        <f t="shared" si="31"/>
        <v>6.789092932665497E-3</v>
      </c>
      <c r="E971" s="81"/>
      <c r="F971" s="82"/>
      <c r="G971" s="81">
        <v>44162</v>
      </c>
      <c r="H971" s="82">
        <v>303.97000000000003</v>
      </c>
      <c r="I971" s="166">
        <f t="shared" si="30"/>
        <v>-6.8936225823312824E-3</v>
      </c>
    </row>
    <row r="972" spans="1:9" ht="18">
      <c r="A972" s="237">
        <v>44217</v>
      </c>
      <c r="B972" s="238">
        <v>90.21</v>
      </c>
      <c r="C972" s="47">
        <f t="shared" si="31"/>
        <v>-2.7636524430687537E-3</v>
      </c>
      <c r="E972" s="81"/>
      <c r="F972" s="82"/>
      <c r="G972" s="81">
        <v>44163</v>
      </c>
      <c r="H972" s="82">
        <v>304.97000000000003</v>
      </c>
      <c r="I972" s="166">
        <f t="shared" si="30"/>
        <v>3.2897983353621374E-3</v>
      </c>
    </row>
    <row r="973" spans="1:9" ht="18">
      <c r="A973" s="237">
        <v>44218</v>
      </c>
      <c r="B973" s="238">
        <v>90.19</v>
      </c>
      <c r="C973" s="47">
        <f t="shared" si="31"/>
        <v>-2.2170491076367593E-4</v>
      </c>
      <c r="E973" s="81"/>
      <c r="F973" s="82"/>
      <c r="G973" s="81">
        <v>44166</v>
      </c>
      <c r="H973" s="82">
        <v>307.16000000000003</v>
      </c>
      <c r="I973" s="166">
        <f t="shared" si="30"/>
        <v>7.1810342000853122E-3</v>
      </c>
    </row>
    <row r="974" spans="1:9" ht="18">
      <c r="A974" s="237">
        <v>44219</v>
      </c>
      <c r="B974" s="238">
        <v>90.34</v>
      </c>
      <c r="C974" s="47">
        <f t="shared" si="31"/>
        <v>1.6631555604835757E-3</v>
      </c>
      <c r="E974" s="81"/>
      <c r="F974" s="82"/>
      <c r="G974" s="81">
        <v>44167</v>
      </c>
      <c r="H974" s="82">
        <v>309.83</v>
      </c>
      <c r="I974" s="166">
        <f t="shared" si="30"/>
        <v>8.6925380908970951E-3</v>
      </c>
    </row>
    <row r="975" spans="1:9" ht="18">
      <c r="A975" s="237">
        <v>44222</v>
      </c>
      <c r="B975" s="238">
        <v>90.6</v>
      </c>
      <c r="C975" s="47">
        <f t="shared" si="31"/>
        <v>2.8780163825545824E-3</v>
      </c>
      <c r="E975" s="81"/>
      <c r="F975" s="82"/>
      <c r="G975" s="81">
        <v>44168</v>
      </c>
      <c r="H975" s="82">
        <v>311.33</v>
      </c>
      <c r="I975" s="166">
        <f t="shared" ref="I975:I1038" si="32">H975/H974-1</f>
        <v>4.8413646193072868E-3</v>
      </c>
    </row>
    <row r="976" spans="1:9" ht="18">
      <c r="A976" s="237">
        <v>44223</v>
      </c>
      <c r="B976" s="238">
        <v>90.56</v>
      </c>
      <c r="C976" s="47">
        <f t="shared" si="31"/>
        <v>-4.4150110375262841E-4</v>
      </c>
      <c r="E976" s="81"/>
      <c r="F976" s="82"/>
      <c r="G976" s="81">
        <v>44169</v>
      </c>
      <c r="H976" s="82">
        <v>312.24</v>
      </c>
      <c r="I976" s="166">
        <f t="shared" si="32"/>
        <v>2.9229435004658466E-3</v>
      </c>
    </row>
    <row r="977" spans="1:9" ht="18">
      <c r="A977" s="237">
        <v>44224</v>
      </c>
      <c r="B977" s="238">
        <v>90.48</v>
      </c>
      <c r="C977" s="47">
        <f t="shared" si="31"/>
        <v>-8.8339222614841617E-4</v>
      </c>
      <c r="E977" s="81"/>
      <c r="F977" s="82"/>
      <c r="G977" s="81">
        <v>44170</v>
      </c>
      <c r="H977" s="82">
        <v>313.48</v>
      </c>
      <c r="I977" s="166">
        <f t="shared" si="32"/>
        <v>3.9713041250319936E-3</v>
      </c>
    </row>
    <row r="978" spans="1:9" ht="18">
      <c r="A978" s="237">
        <v>44225</v>
      </c>
      <c r="B978" s="238">
        <v>90.86</v>
      </c>
      <c r="C978" s="47">
        <f t="shared" si="31"/>
        <v>4.1998231653403995E-3</v>
      </c>
      <c r="E978" s="81"/>
      <c r="F978" s="82"/>
      <c r="G978" s="81">
        <v>44173</v>
      </c>
      <c r="H978" s="82">
        <v>316.63</v>
      </c>
      <c r="I978" s="166">
        <f t="shared" si="32"/>
        <v>1.0048487941814344E-2</v>
      </c>
    </row>
    <row r="979" spans="1:9" ht="18">
      <c r="A979" s="237">
        <v>44226</v>
      </c>
      <c r="B979" s="238">
        <v>90.55</v>
      </c>
      <c r="C979" s="47">
        <f t="shared" si="31"/>
        <v>-3.4118423948932275E-3</v>
      </c>
      <c r="E979" s="81"/>
      <c r="F979" s="82"/>
      <c r="G979" s="81">
        <v>44174</v>
      </c>
      <c r="H979" s="82">
        <v>315.27</v>
      </c>
      <c r="I979" s="166">
        <f t="shared" si="32"/>
        <v>-4.2952341850109876E-3</v>
      </c>
    </row>
    <row r="980" spans="1:9" ht="18">
      <c r="A980" s="237">
        <v>44229</v>
      </c>
      <c r="B980" s="238">
        <v>90.25</v>
      </c>
      <c r="C980" s="47">
        <f t="shared" si="31"/>
        <v>-3.3130866924351299E-3</v>
      </c>
      <c r="E980" s="81"/>
      <c r="F980" s="82"/>
      <c r="G980" s="81">
        <v>44175</v>
      </c>
      <c r="H980" s="82">
        <v>314.52</v>
      </c>
      <c r="I980" s="166">
        <f t="shared" si="32"/>
        <v>-2.3789133123989226E-3</v>
      </c>
    </row>
    <row r="981" spans="1:9" ht="18">
      <c r="A981" s="237">
        <v>44230</v>
      </c>
      <c r="B981" s="238">
        <v>90.57</v>
      </c>
      <c r="C981" s="47">
        <f t="shared" si="31"/>
        <v>3.5457063711910042E-3</v>
      </c>
      <c r="E981" s="81"/>
      <c r="F981" s="82"/>
      <c r="G981" s="81">
        <v>44176</v>
      </c>
      <c r="H981" s="82">
        <v>315.19</v>
      </c>
      <c r="I981" s="166">
        <f t="shared" si="32"/>
        <v>2.130230192038729E-3</v>
      </c>
    </row>
    <row r="982" spans="1:9" ht="18">
      <c r="A982" s="237">
        <v>44231</v>
      </c>
      <c r="B982" s="238">
        <v>91.08</v>
      </c>
      <c r="C982" s="47">
        <f t="shared" si="31"/>
        <v>5.631003643590704E-3</v>
      </c>
      <c r="E982" s="81"/>
      <c r="F982" s="82"/>
      <c r="G982" s="81">
        <v>44177</v>
      </c>
      <c r="H982" s="82">
        <v>313.10000000000002</v>
      </c>
      <c r="I982" s="166">
        <f t="shared" si="32"/>
        <v>-6.6309210317585521E-3</v>
      </c>
    </row>
    <row r="983" spans="1:9" ht="18">
      <c r="A983" s="237">
        <v>44232</v>
      </c>
      <c r="B983" s="238">
        <v>91</v>
      </c>
      <c r="C983" s="47">
        <f t="shared" ref="C983:C1046" si="33">B983/B982-1</f>
        <v>-8.7834870443559421E-4</v>
      </c>
      <c r="E983" s="81"/>
      <c r="F983" s="82"/>
      <c r="G983" s="81">
        <v>44180</v>
      </c>
      <c r="H983" s="82">
        <v>311.83999999999997</v>
      </c>
      <c r="I983" s="166">
        <f t="shared" si="32"/>
        <v>-4.0242733950816012E-3</v>
      </c>
    </row>
    <row r="984" spans="1:9" ht="18">
      <c r="A984" s="237">
        <v>44233</v>
      </c>
      <c r="B984" s="238">
        <v>90.65</v>
      </c>
      <c r="C984" s="47">
        <f t="shared" si="33"/>
        <v>-3.8461538461538325E-3</v>
      </c>
      <c r="E984" s="81"/>
      <c r="F984" s="82"/>
      <c r="G984" s="81">
        <v>44181</v>
      </c>
      <c r="H984" s="82">
        <v>309.48</v>
      </c>
      <c r="I984" s="166">
        <f t="shared" si="32"/>
        <v>-7.5679835813236007E-3</v>
      </c>
    </row>
    <row r="985" spans="1:9" ht="18">
      <c r="A985" s="237">
        <v>44236</v>
      </c>
      <c r="B985" s="238">
        <v>90.65</v>
      </c>
      <c r="C985" s="47">
        <f t="shared" si="33"/>
        <v>0</v>
      </c>
      <c r="E985" s="81"/>
      <c r="F985" s="82"/>
      <c r="G985" s="81">
        <v>44182</v>
      </c>
      <c r="H985" s="82">
        <v>309.44</v>
      </c>
      <c r="I985" s="166">
        <f t="shared" si="32"/>
        <v>-1.2924906294431437E-4</v>
      </c>
    </row>
    <row r="986" spans="1:9" ht="18">
      <c r="A986" s="237">
        <v>44237</v>
      </c>
      <c r="B986" s="238">
        <v>90.26</v>
      </c>
      <c r="C986" s="47">
        <f t="shared" si="33"/>
        <v>-4.3022614451185826E-3</v>
      </c>
      <c r="E986" s="81"/>
      <c r="F986" s="82"/>
      <c r="G986" s="81">
        <v>44183</v>
      </c>
      <c r="H986" s="82">
        <v>306.42</v>
      </c>
      <c r="I986" s="166">
        <f t="shared" si="32"/>
        <v>-9.7595656670113051E-3</v>
      </c>
    </row>
    <row r="987" spans="1:9" ht="18">
      <c r="A987" s="237">
        <v>44238</v>
      </c>
      <c r="B987" s="238">
        <v>89.97</v>
      </c>
      <c r="C987" s="47">
        <f t="shared" si="33"/>
        <v>-3.2129403944162194E-3</v>
      </c>
      <c r="E987" s="81"/>
      <c r="F987" s="82"/>
      <c r="G987" s="81">
        <v>44184</v>
      </c>
      <c r="H987" s="82">
        <v>304.12</v>
      </c>
      <c r="I987" s="166">
        <f t="shared" si="32"/>
        <v>-7.5060374649175143E-3</v>
      </c>
    </row>
    <row r="988" spans="1:9" ht="18">
      <c r="A988" s="237">
        <v>44239</v>
      </c>
      <c r="B988" s="238">
        <v>90.71</v>
      </c>
      <c r="C988" s="47">
        <f t="shared" si="33"/>
        <v>8.2249638768476796E-3</v>
      </c>
      <c r="E988" s="81"/>
      <c r="F988" s="82"/>
      <c r="G988" s="81">
        <v>44187</v>
      </c>
      <c r="H988" s="82">
        <v>305.92</v>
      </c>
      <c r="I988" s="166">
        <f t="shared" si="32"/>
        <v>5.9187162961988893E-3</v>
      </c>
    </row>
    <row r="989" spans="1:9" ht="18">
      <c r="A989" s="237">
        <v>44240</v>
      </c>
      <c r="B989" s="238">
        <v>90.99</v>
      </c>
      <c r="C989" s="47">
        <f t="shared" si="33"/>
        <v>3.0867600044097721E-3</v>
      </c>
      <c r="E989" s="81"/>
      <c r="F989" s="82"/>
      <c r="G989" s="81">
        <v>44188</v>
      </c>
      <c r="H989" s="82">
        <v>306.89</v>
      </c>
      <c r="I989" s="166">
        <f t="shared" si="32"/>
        <v>3.1707635983262428E-3</v>
      </c>
    </row>
    <row r="990" spans="1:9" ht="18">
      <c r="A990" s="237">
        <v>44244</v>
      </c>
      <c r="B990" s="238">
        <v>90.6</v>
      </c>
      <c r="C990" s="47">
        <f t="shared" si="33"/>
        <v>-4.2861852950873969E-3</v>
      </c>
      <c r="E990" s="81"/>
      <c r="F990" s="82"/>
      <c r="G990" s="81">
        <v>44189</v>
      </c>
      <c r="H990" s="82">
        <v>307.25</v>
      </c>
      <c r="I990" s="166">
        <f t="shared" si="32"/>
        <v>1.1730587506924017E-3</v>
      </c>
    </row>
    <row r="991" spans="1:9" ht="18">
      <c r="A991" s="237">
        <v>44245</v>
      </c>
      <c r="B991" s="238">
        <v>90.62</v>
      </c>
      <c r="C991" s="47">
        <f t="shared" si="33"/>
        <v>2.2075055187653625E-4</v>
      </c>
      <c r="E991" s="81"/>
      <c r="F991" s="82"/>
      <c r="G991" s="81">
        <v>44190</v>
      </c>
      <c r="H991" s="82">
        <v>307.3</v>
      </c>
      <c r="I991" s="166">
        <f t="shared" si="32"/>
        <v>1.6273393002452785E-4</v>
      </c>
    </row>
    <row r="992" spans="1:9" ht="18">
      <c r="A992" s="237">
        <v>44246</v>
      </c>
      <c r="B992" s="238">
        <v>90.79</v>
      </c>
      <c r="C992" s="47">
        <f t="shared" si="33"/>
        <v>1.8759655705142819E-3</v>
      </c>
      <c r="E992" s="81"/>
      <c r="F992" s="82"/>
      <c r="G992" s="81">
        <v>44191</v>
      </c>
      <c r="H992" s="82">
        <v>307.06</v>
      </c>
      <c r="I992" s="166">
        <f t="shared" si="32"/>
        <v>-7.8099576960632966E-4</v>
      </c>
    </row>
    <row r="993" spans="1:9" ht="18">
      <c r="A993" s="237">
        <v>44247</v>
      </c>
      <c r="B993" s="238">
        <v>90.82</v>
      </c>
      <c r="C993" s="47">
        <f t="shared" si="33"/>
        <v>3.3043286705569663E-4</v>
      </c>
      <c r="E993" s="81"/>
      <c r="F993" s="82"/>
      <c r="G993" s="81">
        <v>44194</v>
      </c>
      <c r="H993" s="82">
        <v>306.06</v>
      </c>
      <c r="I993" s="166">
        <f t="shared" si="32"/>
        <v>-3.2566925030939053E-3</v>
      </c>
    </row>
    <row r="994" spans="1:9" ht="18">
      <c r="A994" s="237">
        <v>44250</v>
      </c>
      <c r="B994" s="238">
        <v>90.91</v>
      </c>
      <c r="C994" s="47">
        <f t="shared" si="33"/>
        <v>9.9097115172863681E-4</v>
      </c>
      <c r="E994" s="81"/>
      <c r="F994" s="82"/>
      <c r="G994" s="81">
        <v>44195</v>
      </c>
      <c r="H994" s="82">
        <v>305.14</v>
      </c>
      <c r="I994" s="166">
        <f t="shared" si="32"/>
        <v>-3.0059465464288282E-3</v>
      </c>
    </row>
    <row r="995" spans="1:9" ht="18">
      <c r="A995" s="237">
        <v>44251</v>
      </c>
      <c r="B995" s="238">
        <v>91.48</v>
      </c>
      <c r="C995" s="47">
        <f t="shared" si="33"/>
        <v>6.269937300626971E-3</v>
      </c>
      <c r="E995" s="81"/>
      <c r="F995" s="82"/>
      <c r="G995" s="81">
        <v>44196</v>
      </c>
      <c r="H995" s="82">
        <v>305.55</v>
      </c>
      <c r="I995" s="166">
        <f t="shared" si="32"/>
        <v>1.3436455397524139E-3</v>
      </c>
    </row>
    <row r="996" spans="1:9" ht="18">
      <c r="A996" s="237">
        <v>44252</v>
      </c>
      <c r="B996" s="238">
        <v>91.78</v>
      </c>
      <c r="C996" s="47">
        <f t="shared" si="33"/>
        <v>3.2794053344993301E-3</v>
      </c>
      <c r="E996" s="81"/>
      <c r="F996" s="82"/>
      <c r="G996" s="81">
        <v>44197</v>
      </c>
      <c r="H996" s="82">
        <v>303.61</v>
      </c>
      <c r="I996" s="166">
        <f t="shared" si="32"/>
        <v>-6.3492063492063266E-3</v>
      </c>
    </row>
    <row r="997" spans="1:9" ht="18">
      <c r="A997" s="237">
        <v>44253</v>
      </c>
      <c r="B997" s="238">
        <v>91.47</v>
      </c>
      <c r="C997" s="47">
        <f t="shared" si="33"/>
        <v>-3.3776421878405349E-3</v>
      </c>
      <c r="E997" s="81"/>
      <c r="F997" s="82"/>
      <c r="G997" s="81">
        <v>44198</v>
      </c>
      <c r="H997" s="82">
        <v>303.2</v>
      </c>
      <c r="I997" s="166">
        <f t="shared" si="32"/>
        <v>-1.3504166529429984E-3</v>
      </c>
    </row>
    <row r="998" spans="1:9" ht="18">
      <c r="A998" s="237">
        <v>44254</v>
      </c>
      <c r="B998" s="238">
        <v>92.03</v>
      </c>
      <c r="C998" s="47">
        <f t="shared" si="33"/>
        <v>6.1222258664042073E-3</v>
      </c>
      <c r="E998" s="81"/>
      <c r="F998" s="82"/>
      <c r="G998" s="81">
        <v>44201</v>
      </c>
      <c r="H998" s="82">
        <v>303.61</v>
      </c>
      <c r="I998" s="166">
        <f t="shared" si="32"/>
        <v>1.3522427440633145E-3</v>
      </c>
    </row>
    <row r="999" spans="1:9" ht="18">
      <c r="A999" s="237">
        <v>44257</v>
      </c>
      <c r="B999" s="238">
        <v>91.45</v>
      </c>
      <c r="C999" s="47">
        <f t="shared" si="33"/>
        <v>-6.3022927306313203E-3</v>
      </c>
      <c r="E999" s="81"/>
      <c r="F999" s="82"/>
      <c r="G999" s="81">
        <v>44202</v>
      </c>
      <c r="H999" s="82">
        <v>304.38</v>
      </c>
      <c r="I999" s="166">
        <f t="shared" si="32"/>
        <v>2.5361483482098102E-3</v>
      </c>
    </row>
    <row r="1000" spans="1:9" ht="18">
      <c r="A1000" s="237">
        <v>44258</v>
      </c>
      <c r="B1000" s="238">
        <v>91.31</v>
      </c>
      <c r="C1000" s="47">
        <f t="shared" si="33"/>
        <v>-1.5308911973755945E-3</v>
      </c>
      <c r="E1000" s="81"/>
      <c r="F1000" s="82"/>
      <c r="G1000" s="81">
        <v>44203</v>
      </c>
      <c r="H1000" s="82">
        <v>301.20999999999998</v>
      </c>
      <c r="I1000" s="166">
        <f t="shared" si="32"/>
        <v>-1.0414613312307086E-2</v>
      </c>
    </row>
    <row r="1001" spans="1:9" ht="18">
      <c r="A1001" s="237">
        <v>44259</v>
      </c>
      <c r="B1001" s="238">
        <v>91.28</v>
      </c>
      <c r="C1001" s="47">
        <f t="shared" si="33"/>
        <v>-3.2855108969442881E-4</v>
      </c>
      <c r="E1001" s="81"/>
      <c r="F1001" s="82"/>
      <c r="G1001" s="81">
        <v>44204</v>
      </c>
      <c r="H1001" s="82">
        <v>299.64</v>
      </c>
      <c r="I1001" s="166">
        <f t="shared" si="32"/>
        <v>-5.2123103482619726E-3</v>
      </c>
    </row>
    <row r="1002" spans="1:9" ht="18">
      <c r="A1002" s="237">
        <v>44260</v>
      </c>
      <c r="B1002" s="238">
        <v>90.74</v>
      </c>
      <c r="C1002" s="47">
        <f t="shared" si="33"/>
        <v>-5.9158632778265607E-3</v>
      </c>
      <c r="E1002" s="81"/>
      <c r="F1002" s="82"/>
      <c r="G1002" s="81">
        <v>44205</v>
      </c>
      <c r="H1002" s="82">
        <v>296.73</v>
      </c>
      <c r="I1002" s="166">
        <f t="shared" si="32"/>
        <v>-9.7116539847816874E-3</v>
      </c>
    </row>
    <row r="1003" spans="1:9" ht="18">
      <c r="A1003" s="237">
        <v>44261</v>
      </c>
      <c r="B1003" s="238">
        <v>90.99</v>
      </c>
      <c r="C1003" s="47">
        <f t="shared" si="33"/>
        <v>2.7551245316288497E-3</v>
      </c>
      <c r="E1003" s="81"/>
      <c r="F1003" s="82"/>
      <c r="G1003" s="81">
        <v>44208</v>
      </c>
      <c r="H1003" s="82">
        <v>291.35000000000002</v>
      </c>
      <c r="I1003" s="166">
        <f t="shared" si="32"/>
        <v>-1.8130960806119978E-2</v>
      </c>
    </row>
    <row r="1004" spans="1:9" ht="18">
      <c r="A1004" s="237">
        <v>44264</v>
      </c>
      <c r="B1004" s="238">
        <v>90.87</v>
      </c>
      <c r="C1004" s="47">
        <f t="shared" si="33"/>
        <v>-1.3188262446421906E-3</v>
      </c>
      <c r="E1004" s="81"/>
      <c r="F1004" s="82"/>
      <c r="G1004" s="81">
        <v>44209</v>
      </c>
      <c r="H1004" s="82">
        <v>295.64</v>
      </c>
      <c r="I1004" s="166">
        <f t="shared" si="32"/>
        <v>1.4724558091642193E-2</v>
      </c>
    </row>
    <row r="1005" spans="1:9" ht="18">
      <c r="A1005" s="237">
        <v>44265</v>
      </c>
      <c r="B1005" s="238">
        <v>90.69</v>
      </c>
      <c r="C1005" s="47">
        <f t="shared" si="33"/>
        <v>-1.980851766259617E-3</v>
      </c>
      <c r="E1005" s="81"/>
      <c r="F1005" s="82"/>
      <c r="G1005" s="81">
        <v>44210</v>
      </c>
      <c r="H1005" s="82">
        <v>296.27</v>
      </c>
      <c r="I1005" s="166">
        <f t="shared" si="32"/>
        <v>2.1309700987688363E-3</v>
      </c>
    </row>
    <row r="1006" spans="1:9" ht="18">
      <c r="A1006" s="237">
        <v>44266</v>
      </c>
      <c r="B1006" s="238">
        <v>90.67</v>
      </c>
      <c r="C1006" s="47">
        <f t="shared" si="33"/>
        <v>-2.2053148086886853E-4</v>
      </c>
      <c r="E1006" s="81"/>
      <c r="F1006" s="82"/>
      <c r="G1006" s="81">
        <v>44211</v>
      </c>
      <c r="H1006" s="82">
        <v>298.95</v>
      </c>
      <c r="I1006" s="166">
        <f t="shared" si="32"/>
        <v>9.0458028149997816E-3</v>
      </c>
    </row>
    <row r="1007" spans="1:9" ht="18">
      <c r="A1007" s="237">
        <v>44267</v>
      </c>
      <c r="B1007" s="238">
        <v>90.63</v>
      </c>
      <c r="C1007" s="47">
        <f t="shared" si="33"/>
        <v>-4.4116025146145876E-4</v>
      </c>
      <c r="E1007" s="81"/>
      <c r="F1007" s="82"/>
      <c r="G1007" s="81">
        <v>44212</v>
      </c>
      <c r="H1007" s="82">
        <v>299.97000000000003</v>
      </c>
      <c r="I1007" s="166">
        <f t="shared" si="32"/>
        <v>3.4119417962872323E-3</v>
      </c>
    </row>
    <row r="1008" spans="1:9" ht="18">
      <c r="A1008" s="237">
        <v>44268</v>
      </c>
      <c r="B1008" s="238">
        <v>90.72</v>
      </c>
      <c r="C1008" s="47">
        <f t="shared" si="33"/>
        <v>9.930486593843213E-4</v>
      </c>
      <c r="E1008" s="81"/>
      <c r="F1008" s="82"/>
      <c r="G1008" s="81">
        <v>44215</v>
      </c>
      <c r="H1008" s="82">
        <v>303.10000000000002</v>
      </c>
      <c r="I1008" s="166">
        <f t="shared" si="32"/>
        <v>1.0434376771010445E-2</v>
      </c>
    </row>
    <row r="1009" spans="1:9" ht="18">
      <c r="A1009" s="237">
        <v>44271</v>
      </c>
      <c r="B1009" s="238">
        <v>90.96</v>
      </c>
      <c r="C1009" s="47">
        <f t="shared" si="33"/>
        <v>2.6455026455025621E-3</v>
      </c>
      <c r="E1009" s="81"/>
      <c r="F1009" s="82"/>
      <c r="G1009" s="81">
        <v>44216</v>
      </c>
      <c r="H1009" s="82">
        <v>302.89999999999998</v>
      </c>
      <c r="I1009" s="166">
        <f t="shared" si="32"/>
        <v>-6.5984823490616851E-4</v>
      </c>
    </row>
    <row r="1010" spans="1:9" ht="18">
      <c r="A1010" s="237">
        <v>44272</v>
      </c>
      <c r="B1010" s="238">
        <v>90.93</v>
      </c>
      <c r="C1010" s="47">
        <f t="shared" si="33"/>
        <v>-3.2981530342990339E-4</v>
      </c>
      <c r="E1010" s="81"/>
      <c r="F1010" s="82"/>
      <c r="G1010" s="81">
        <v>44217</v>
      </c>
      <c r="H1010" s="82">
        <v>302.75</v>
      </c>
      <c r="I1010" s="166">
        <f t="shared" si="32"/>
        <v>-4.9521294156484874E-4</v>
      </c>
    </row>
    <row r="1011" spans="1:9" ht="18">
      <c r="A1011" s="237">
        <v>44273</v>
      </c>
      <c r="B1011" s="238">
        <v>91.43</v>
      </c>
      <c r="C1011" s="47">
        <f t="shared" si="33"/>
        <v>5.4987352908830722E-3</v>
      </c>
      <c r="E1011" s="81"/>
      <c r="F1011" s="82"/>
      <c r="G1011" s="81">
        <v>44218</v>
      </c>
      <c r="H1011" s="82">
        <v>302.89999999999998</v>
      </c>
      <c r="I1011" s="166">
        <f t="shared" si="32"/>
        <v>4.9545829892649884E-4</v>
      </c>
    </row>
    <row r="1012" spans="1:9" ht="18">
      <c r="A1012" s="237">
        <v>44274</v>
      </c>
      <c r="B1012" s="238">
        <v>91.25</v>
      </c>
      <c r="C1012" s="47">
        <f t="shared" si="33"/>
        <v>-1.9687192387619623E-3</v>
      </c>
      <c r="E1012" s="81"/>
      <c r="F1012" s="82"/>
      <c r="G1012" s="81">
        <v>44219</v>
      </c>
      <c r="H1012" s="82">
        <v>304.86</v>
      </c>
      <c r="I1012" s="166">
        <f t="shared" si="32"/>
        <v>6.4707824364478306E-3</v>
      </c>
    </row>
    <row r="1013" spans="1:9" ht="18">
      <c r="A1013" s="237">
        <v>44275</v>
      </c>
      <c r="B1013" s="238">
        <v>90.98</v>
      </c>
      <c r="C1013" s="47">
        <f t="shared" si="33"/>
        <v>-2.958904109588989E-3</v>
      </c>
      <c r="E1013" s="81"/>
      <c r="F1013" s="82"/>
      <c r="G1013" s="81">
        <v>44222</v>
      </c>
      <c r="H1013" s="82">
        <v>303.45999999999998</v>
      </c>
      <c r="I1013" s="166">
        <f t="shared" si="32"/>
        <v>-4.5922718624943348E-3</v>
      </c>
    </row>
    <row r="1014" spans="1:9" ht="18">
      <c r="A1014" s="237">
        <v>44278</v>
      </c>
      <c r="B1014" s="238">
        <v>90.92</v>
      </c>
      <c r="C1014" s="47">
        <f t="shared" si="33"/>
        <v>-6.5948560123108013E-4</v>
      </c>
      <c r="E1014" s="81"/>
      <c r="F1014" s="82"/>
      <c r="G1014" s="81">
        <v>44223</v>
      </c>
      <c r="H1014" s="82">
        <v>303.43</v>
      </c>
      <c r="I1014" s="166">
        <f t="shared" si="32"/>
        <v>-9.8859816779706122E-5</v>
      </c>
    </row>
    <row r="1015" spans="1:9" ht="18">
      <c r="A1015" s="237">
        <v>44279</v>
      </c>
      <c r="B1015" s="238">
        <v>91.01</v>
      </c>
      <c r="C1015" s="47">
        <f t="shared" si="33"/>
        <v>9.8988121425436226E-4</v>
      </c>
      <c r="E1015" s="81"/>
      <c r="F1015" s="82"/>
      <c r="G1015" s="81">
        <v>44224</v>
      </c>
      <c r="H1015" s="82">
        <v>304.7</v>
      </c>
      <c r="I1015" s="166">
        <f t="shared" si="32"/>
        <v>4.185479352733612E-3</v>
      </c>
    </row>
    <row r="1016" spans="1:9" ht="18">
      <c r="A1016" s="237">
        <v>44280</v>
      </c>
      <c r="B1016" s="238">
        <v>90.49</v>
      </c>
      <c r="C1016" s="47">
        <f t="shared" si="33"/>
        <v>-5.7136578397979365E-3</v>
      </c>
      <c r="E1016" s="81"/>
      <c r="F1016" s="82"/>
      <c r="G1016" s="81">
        <v>44225</v>
      </c>
      <c r="H1016" s="82">
        <v>305.57</v>
      </c>
      <c r="I1016" s="166">
        <f t="shared" si="32"/>
        <v>2.8552674762061248E-3</v>
      </c>
    </row>
    <row r="1017" spans="1:9" ht="18">
      <c r="A1017" s="237">
        <v>44281</v>
      </c>
      <c r="B1017" s="238">
        <v>90.29</v>
      </c>
      <c r="C1017" s="47">
        <f t="shared" si="33"/>
        <v>-2.210188971156879E-3</v>
      </c>
      <c r="E1017" s="81"/>
      <c r="F1017" s="82"/>
      <c r="G1017" s="81">
        <v>44226</v>
      </c>
      <c r="H1017" s="82">
        <v>305.64</v>
      </c>
      <c r="I1017" s="166">
        <f t="shared" si="32"/>
        <v>2.2908007985078527E-4</v>
      </c>
    </row>
    <row r="1018" spans="1:9" ht="18">
      <c r="A1018" s="237">
        <v>44282</v>
      </c>
      <c r="B1018" s="238">
        <v>90.39</v>
      </c>
      <c r="C1018" s="47">
        <f t="shared" si="33"/>
        <v>1.1075423634954173E-3</v>
      </c>
      <c r="E1018" s="81"/>
      <c r="F1018" s="82"/>
      <c r="G1018" s="81">
        <v>44229</v>
      </c>
      <c r="H1018" s="82">
        <v>300.8</v>
      </c>
      <c r="I1018" s="166">
        <f t="shared" si="32"/>
        <v>-1.5835623609475102E-2</v>
      </c>
    </row>
    <row r="1019" spans="1:9" ht="18">
      <c r="A1019" s="237">
        <v>44285</v>
      </c>
      <c r="B1019" s="238">
        <v>90.59</v>
      </c>
      <c r="C1019" s="47">
        <f t="shared" si="33"/>
        <v>2.212634140944747E-3</v>
      </c>
      <c r="E1019" s="81"/>
      <c r="F1019" s="82"/>
      <c r="G1019" s="81">
        <v>44230</v>
      </c>
      <c r="H1019" s="82">
        <v>305.58999999999997</v>
      </c>
      <c r="I1019" s="166">
        <f t="shared" si="32"/>
        <v>1.5924202127659548E-2</v>
      </c>
    </row>
    <row r="1020" spans="1:9" ht="18">
      <c r="A1020" s="237">
        <v>44286</v>
      </c>
      <c r="B1020" s="238">
        <v>90.48</v>
      </c>
      <c r="C1020" s="47">
        <f t="shared" si="33"/>
        <v>-1.2142620598299958E-3</v>
      </c>
      <c r="E1020" s="81"/>
      <c r="F1020" s="82"/>
      <c r="G1020" s="81">
        <v>44231</v>
      </c>
      <c r="H1020" s="82">
        <v>306.05</v>
      </c>
      <c r="I1020" s="166">
        <f t="shared" si="32"/>
        <v>1.5052848587977508E-3</v>
      </c>
    </row>
    <row r="1021" spans="1:9" ht="18">
      <c r="A1021" s="237">
        <v>44287</v>
      </c>
      <c r="B1021" s="238">
        <v>90.44</v>
      </c>
      <c r="C1021" s="47">
        <f t="shared" si="33"/>
        <v>-4.4208664898326422E-4</v>
      </c>
      <c r="E1021" s="81"/>
      <c r="F1021" s="82"/>
      <c r="G1021" s="81">
        <v>44232</v>
      </c>
      <c r="H1021" s="82">
        <v>307.83</v>
      </c>
      <c r="I1021" s="166">
        <f t="shared" si="32"/>
        <v>5.8160431302074489E-3</v>
      </c>
    </row>
    <row r="1022" spans="1:9" ht="18">
      <c r="A1022" s="237">
        <v>44288</v>
      </c>
      <c r="B1022" s="238">
        <v>89.9</v>
      </c>
      <c r="C1022" s="47">
        <f t="shared" si="33"/>
        <v>-5.970809376382058E-3</v>
      </c>
      <c r="E1022" s="81"/>
      <c r="F1022" s="82"/>
      <c r="G1022" s="81">
        <v>44233</v>
      </c>
      <c r="H1022" s="82">
        <v>309.75</v>
      </c>
      <c r="I1022" s="166">
        <f t="shared" si="32"/>
        <v>6.2372088490401101E-3</v>
      </c>
    </row>
    <row r="1023" spans="1:9" ht="18">
      <c r="A1023" s="237">
        <v>44289</v>
      </c>
      <c r="B1023" s="238">
        <v>88.59</v>
      </c>
      <c r="C1023" s="47">
        <f t="shared" si="33"/>
        <v>-1.4571746384872131E-2</v>
      </c>
      <c r="E1023" s="81"/>
      <c r="F1023" s="82"/>
      <c r="G1023" s="81">
        <v>44236</v>
      </c>
      <c r="H1023" s="82">
        <v>309.39999999999998</v>
      </c>
      <c r="I1023" s="166">
        <f t="shared" si="32"/>
        <v>-1.129943502824915E-3</v>
      </c>
    </row>
    <row r="1024" spans="1:9" ht="18">
      <c r="A1024" s="237">
        <v>44292</v>
      </c>
      <c r="B1024" s="238">
        <v>87.16</v>
      </c>
      <c r="C1024" s="47">
        <f t="shared" si="33"/>
        <v>-1.6141776724235335E-2</v>
      </c>
      <c r="E1024" s="81"/>
      <c r="F1024" s="82"/>
      <c r="G1024" s="81">
        <v>44237</v>
      </c>
      <c r="H1024" s="82">
        <v>307.91000000000003</v>
      </c>
      <c r="I1024" s="166">
        <f t="shared" si="32"/>
        <v>-4.8157724628311582E-3</v>
      </c>
    </row>
    <row r="1025" spans="1:9" ht="18">
      <c r="A1025" s="237">
        <v>44293</v>
      </c>
      <c r="B1025" s="238">
        <v>86.54</v>
      </c>
      <c r="C1025" s="47">
        <f t="shared" si="33"/>
        <v>-7.1133547498851701E-3</v>
      </c>
      <c r="E1025" s="81"/>
      <c r="F1025" s="82"/>
      <c r="G1025" s="81">
        <v>44238</v>
      </c>
      <c r="H1025" s="82">
        <v>309.55</v>
      </c>
      <c r="I1025" s="166">
        <f t="shared" si="32"/>
        <v>5.3262316910784868E-3</v>
      </c>
    </row>
    <row r="1026" spans="1:9" ht="18">
      <c r="A1026" s="237">
        <v>44294</v>
      </c>
      <c r="B1026" s="238">
        <v>88.77</v>
      </c>
      <c r="C1026" s="47">
        <f t="shared" si="33"/>
        <v>2.57684307834527E-2</v>
      </c>
      <c r="E1026" s="81"/>
      <c r="F1026" s="82"/>
      <c r="G1026" s="81">
        <v>44239</v>
      </c>
      <c r="H1026" s="82">
        <v>309.86</v>
      </c>
      <c r="I1026" s="166">
        <f t="shared" si="32"/>
        <v>1.0014537231464171E-3</v>
      </c>
    </row>
    <row r="1027" spans="1:9" ht="18">
      <c r="A1027" s="237">
        <v>44295</v>
      </c>
      <c r="B1027" s="238">
        <v>87.05</v>
      </c>
      <c r="C1027" s="47">
        <f t="shared" si="33"/>
        <v>-1.9375915286695911E-2</v>
      </c>
      <c r="E1027" s="81"/>
      <c r="F1027" s="82"/>
      <c r="G1027" s="81">
        <v>44240</v>
      </c>
      <c r="H1027" s="82">
        <v>312.55</v>
      </c>
      <c r="I1027" s="166">
        <f t="shared" si="32"/>
        <v>8.6813399599818819E-3</v>
      </c>
    </row>
    <row r="1028" spans="1:9" ht="18">
      <c r="A1028" s="237">
        <v>44296</v>
      </c>
      <c r="B1028" s="238">
        <v>87.36</v>
      </c>
      <c r="C1028" s="47">
        <f t="shared" si="33"/>
        <v>3.5611717403791765E-3</v>
      </c>
      <c r="E1028" s="81"/>
      <c r="F1028" s="82"/>
      <c r="G1028" s="81">
        <v>44243</v>
      </c>
      <c r="H1028" s="82">
        <v>313.86</v>
      </c>
      <c r="I1028" s="166">
        <f t="shared" si="32"/>
        <v>4.1913293872979374E-3</v>
      </c>
    </row>
    <row r="1029" spans="1:9" ht="18">
      <c r="A1029" s="237">
        <v>44299</v>
      </c>
      <c r="B1029" s="238">
        <v>88.27</v>
      </c>
      <c r="C1029" s="47">
        <f t="shared" si="33"/>
        <v>1.0416666666666519E-2</v>
      </c>
      <c r="E1029" s="81"/>
      <c r="F1029" s="82"/>
      <c r="G1029" s="81">
        <v>44244</v>
      </c>
      <c r="H1029" s="82">
        <v>315.27</v>
      </c>
      <c r="I1029" s="166">
        <f t="shared" si="32"/>
        <v>4.4924488625501802E-3</v>
      </c>
    </row>
    <row r="1030" spans="1:9" ht="18">
      <c r="A1030" s="237">
        <v>44300</v>
      </c>
      <c r="B1030" s="238">
        <v>88.54</v>
      </c>
      <c r="C1030" s="47">
        <f t="shared" si="33"/>
        <v>3.0587968732300741E-3</v>
      </c>
      <c r="E1030" s="81"/>
      <c r="F1030" s="82"/>
      <c r="G1030" s="81">
        <v>44245</v>
      </c>
      <c r="H1030" s="82">
        <v>314.64</v>
      </c>
      <c r="I1030" s="166">
        <f t="shared" si="32"/>
        <v>-1.998287182415015E-3</v>
      </c>
    </row>
    <row r="1031" spans="1:9" ht="18">
      <c r="A1031" s="237">
        <v>44301</v>
      </c>
      <c r="B1031" s="238">
        <v>88.57</v>
      </c>
      <c r="C1031" s="47">
        <f t="shared" si="33"/>
        <v>3.3882990738631769E-4</v>
      </c>
      <c r="E1031" s="81"/>
      <c r="F1031" s="82"/>
      <c r="G1031" s="81">
        <v>44246</v>
      </c>
      <c r="H1031" s="82">
        <v>314.12</v>
      </c>
      <c r="I1031" s="166">
        <f t="shared" si="32"/>
        <v>-1.6526824307143695E-3</v>
      </c>
    </row>
    <row r="1032" spans="1:9" ht="18">
      <c r="A1032" s="237">
        <v>44302</v>
      </c>
      <c r="B1032" s="238">
        <v>88.8</v>
      </c>
      <c r="C1032" s="47">
        <f t="shared" si="33"/>
        <v>2.5968160776788096E-3</v>
      </c>
      <c r="E1032" s="81"/>
      <c r="F1032" s="82"/>
      <c r="G1032" s="81">
        <v>44247</v>
      </c>
      <c r="H1032" s="82">
        <v>317.8</v>
      </c>
      <c r="I1032" s="166">
        <f t="shared" si="32"/>
        <v>1.1715268050426664E-2</v>
      </c>
    </row>
    <row r="1033" spans="1:9" ht="18">
      <c r="A1033" s="237">
        <v>44306</v>
      </c>
      <c r="B1033" s="238">
        <v>87.77</v>
      </c>
      <c r="C1033" s="47">
        <f t="shared" si="33"/>
        <v>-1.1599099099099064E-2</v>
      </c>
      <c r="E1033" s="81"/>
      <c r="F1033" s="82"/>
      <c r="G1033" s="81">
        <v>44250</v>
      </c>
      <c r="H1033" s="82">
        <v>314.64</v>
      </c>
      <c r="I1033" s="166">
        <f t="shared" si="32"/>
        <v>-9.9433606041536837E-3</v>
      </c>
    </row>
    <row r="1034" spans="1:9" ht="18">
      <c r="A1034" s="237">
        <v>44307</v>
      </c>
      <c r="B1034" s="238">
        <v>88.68</v>
      </c>
      <c r="C1034" s="47">
        <f t="shared" si="33"/>
        <v>1.0368007291785553E-2</v>
      </c>
      <c r="E1034" s="81"/>
      <c r="F1034" s="82"/>
      <c r="G1034" s="81">
        <v>44251</v>
      </c>
      <c r="H1034" s="82">
        <v>311.02</v>
      </c>
      <c r="I1034" s="166">
        <f t="shared" si="32"/>
        <v>-1.1505212306127666E-2</v>
      </c>
    </row>
    <row r="1035" spans="1:9" ht="18">
      <c r="A1035" s="237">
        <v>44308</v>
      </c>
      <c r="B1035" s="238">
        <v>89.07</v>
      </c>
      <c r="C1035" s="47">
        <f t="shared" si="33"/>
        <v>4.3978349120430416E-3</v>
      </c>
      <c r="E1035" s="81"/>
      <c r="F1035" s="82"/>
      <c r="G1035" s="81">
        <v>44252</v>
      </c>
      <c r="H1035" s="82">
        <v>314.5</v>
      </c>
      <c r="I1035" s="166">
        <f t="shared" si="32"/>
        <v>1.1188991061668041E-2</v>
      </c>
    </row>
    <row r="1036" spans="1:9" ht="18">
      <c r="A1036" s="237">
        <v>44309</v>
      </c>
      <c r="B1036" s="238">
        <v>90.02</v>
      </c>
      <c r="C1036" s="47">
        <f t="shared" si="33"/>
        <v>1.0665768496687988E-2</v>
      </c>
      <c r="E1036" s="81"/>
      <c r="F1036" s="82"/>
      <c r="G1036" s="81">
        <v>44253</v>
      </c>
      <c r="H1036" s="82">
        <v>311.56</v>
      </c>
      <c r="I1036" s="166">
        <f t="shared" si="32"/>
        <v>-9.3481717011129062E-3</v>
      </c>
    </row>
    <row r="1037" spans="1:9" ht="18">
      <c r="A1037" s="237">
        <v>44310</v>
      </c>
      <c r="B1037" s="238">
        <v>90.38</v>
      </c>
      <c r="C1037" s="47">
        <f t="shared" si="33"/>
        <v>3.9991113085979801E-3</v>
      </c>
      <c r="E1037" s="81"/>
      <c r="F1037" s="82"/>
      <c r="G1037" s="81">
        <v>44254</v>
      </c>
      <c r="H1037" s="82">
        <v>305.20999999999998</v>
      </c>
      <c r="I1037" s="166">
        <f t="shared" si="32"/>
        <v>-2.0381306971369972E-2</v>
      </c>
    </row>
    <row r="1038" spans="1:9" ht="18">
      <c r="A1038" s="237">
        <v>44313</v>
      </c>
      <c r="B1038" s="238">
        <v>90.48</v>
      </c>
      <c r="C1038" s="47">
        <f t="shared" si="33"/>
        <v>1.106439477760679E-3</v>
      </c>
      <c r="E1038" s="81"/>
      <c r="F1038" s="82"/>
      <c r="G1038" s="81">
        <v>44257</v>
      </c>
      <c r="H1038" s="82">
        <v>304.94</v>
      </c>
      <c r="I1038" s="166">
        <f t="shared" si="32"/>
        <v>-8.8463680744399475E-4</v>
      </c>
    </row>
    <row r="1039" spans="1:9" ht="18">
      <c r="A1039" s="237">
        <v>44314</v>
      </c>
      <c r="B1039" s="238">
        <v>90.6</v>
      </c>
      <c r="C1039" s="47">
        <f t="shared" si="33"/>
        <v>1.3262599469494596E-3</v>
      </c>
      <c r="E1039" s="81"/>
      <c r="F1039" s="82"/>
      <c r="G1039" s="81">
        <v>44258</v>
      </c>
      <c r="H1039" s="82">
        <v>304.04000000000002</v>
      </c>
      <c r="I1039" s="166">
        <f t="shared" ref="I1039:I1102" si="34">H1039/H1038-1</f>
        <v>-2.9514002754639224E-3</v>
      </c>
    </row>
    <row r="1040" spans="1:9" ht="18">
      <c r="A1040" s="237">
        <v>44315</v>
      </c>
      <c r="B1040" s="238">
        <v>89.96</v>
      </c>
      <c r="C1040" s="47">
        <f t="shared" si="33"/>
        <v>-7.064017660044164E-3</v>
      </c>
      <c r="E1040" s="81"/>
      <c r="F1040" s="82"/>
      <c r="G1040" s="81">
        <v>44259</v>
      </c>
      <c r="H1040" s="82">
        <v>310.35000000000002</v>
      </c>
      <c r="I1040" s="166">
        <f t="shared" si="34"/>
        <v>2.0753848177871292E-2</v>
      </c>
    </row>
    <row r="1041" spans="1:9" ht="18">
      <c r="A1041" s="237">
        <v>44316</v>
      </c>
      <c r="B1041" s="238">
        <v>89.6</v>
      </c>
      <c r="C1041" s="47">
        <f t="shared" si="33"/>
        <v>-4.0017785682525675E-3</v>
      </c>
      <c r="E1041" s="81"/>
      <c r="F1041" s="82"/>
      <c r="G1041" s="81">
        <v>44260</v>
      </c>
      <c r="H1041" s="82">
        <v>314.26</v>
      </c>
      <c r="I1041" s="166">
        <f t="shared" si="34"/>
        <v>1.2598678910906935E-2</v>
      </c>
    </row>
    <row r="1042" spans="1:9" ht="18">
      <c r="A1042" s="237">
        <v>44317</v>
      </c>
      <c r="B1042" s="238">
        <v>89.36</v>
      </c>
      <c r="C1042" s="47">
        <f t="shared" si="33"/>
        <v>-2.6785714285714191E-3</v>
      </c>
      <c r="E1042" s="81"/>
      <c r="F1042" s="82"/>
      <c r="G1042" s="81">
        <v>44261</v>
      </c>
      <c r="H1042" s="82">
        <v>313.8</v>
      </c>
      <c r="I1042" s="166">
        <f t="shared" si="34"/>
        <v>-1.4637561255010922E-3</v>
      </c>
    </row>
    <row r="1043" spans="1:9" ht="18">
      <c r="A1043" s="237">
        <v>44320</v>
      </c>
      <c r="B1043" s="238">
        <v>89.18</v>
      </c>
      <c r="C1043" s="47">
        <f t="shared" si="33"/>
        <v>-2.0143240823633501E-3</v>
      </c>
      <c r="E1043" s="81"/>
      <c r="F1043" s="82"/>
      <c r="G1043" s="81">
        <v>44264</v>
      </c>
      <c r="H1043" s="82">
        <v>309.35000000000002</v>
      </c>
      <c r="I1043" s="166">
        <f t="shared" si="34"/>
        <v>-1.4181007010834912E-2</v>
      </c>
    </row>
    <row r="1044" spans="1:9" ht="18">
      <c r="A1044" s="237">
        <v>44321</v>
      </c>
      <c r="B1044" s="238">
        <v>89.55</v>
      </c>
      <c r="C1044" s="47">
        <f t="shared" si="33"/>
        <v>4.1489123121773996E-3</v>
      </c>
      <c r="E1044" s="81"/>
      <c r="F1044" s="82"/>
      <c r="G1044" s="81">
        <v>44265</v>
      </c>
      <c r="H1044" s="82">
        <v>308.67</v>
      </c>
      <c r="I1044" s="166">
        <f t="shared" si="34"/>
        <v>-2.1981574268628012E-3</v>
      </c>
    </row>
    <row r="1045" spans="1:9" ht="18">
      <c r="A1045" s="237">
        <v>44322</v>
      </c>
      <c r="B1045" s="238">
        <v>89.9</v>
      </c>
      <c r="C1045" s="47">
        <f t="shared" si="33"/>
        <v>3.9084310441095393E-3</v>
      </c>
      <c r="E1045" s="81"/>
      <c r="F1045" s="82"/>
      <c r="G1045" s="81">
        <v>44266</v>
      </c>
      <c r="H1045" s="82">
        <v>308.52999999999997</v>
      </c>
      <c r="I1045" s="166">
        <f t="shared" si="34"/>
        <v>-4.5355881685960053E-4</v>
      </c>
    </row>
    <row r="1046" spans="1:9" ht="18">
      <c r="A1046" s="237">
        <v>44323</v>
      </c>
      <c r="B1046" s="238">
        <v>89.54</v>
      </c>
      <c r="C1046" s="47">
        <f t="shared" si="33"/>
        <v>-4.004449388209097E-3</v>
      </c>
      <c r="E1046" s="81"/>
      <c r="F1046" s="82"/>
      <c r="G1046" s="81">
        <v>44267</v>
      </c>
      <c r="H1046" s="82">
        <v>307.02</v>
      </c>
      <c r="I1046" s="166">
        <f t="shared" si="34"/>
        <v>-4.8941756069101894E-3</v>
      </c>
    </row>
    <row r="1047" spans="1:9" ht="18">
      <c r="A1047" s="237">
        <v>44324</v>
      </c>
      <c r="B1047" s="238">
        <v>89.68</v>
      </c>
      <c r="C1047" s="47">
        <f t="shared" ref="C1047:C1110" si="35">B1047/B1046-1</f>
        <v>1.5635470180925815E-3</v>
      </c>
      <c r="E1047" s="81"/>
      <c r="F1047" s="82"/>
      <c r="G1047" s="81">
        <v>44268</v>
      </c>
      <c r="H1047" s="82">
        <v>310.98</v>
      </c>
      <c r="I1047" s="166">
        <f t="shared" si="34"/>
        <v>1.2898182528825686E-2</v>
      </c>
    </row>
    <row r="1048" spans="1:9" ht="18">
      <c r="A1048" s="237">
        <v>44327</v>
      </c>
      <c r="B1048" s="238">
        <v>90.2</v>
      </c>
      <c r="C1048" s="47">
        <f t="shared" si="35"/>
        <v>5.7983942908117481E-3</v>
      </c>
      <c r="E1048" s="81"/>
      <c r="F1048" s="82"/>
      <c r="G1048" s="81">
        <v>44271</v>
      </c>
      <c r="H1048" s="82">
        <v>313.52999999999997</v>
      </c>
      <c r="I1048" s="166">
        <f t="shared" si="34"/>
        <v>8.1998842369281899E-3</v>
      </c>
    </row>
    <row r="1049" spans="1:9" ht="18">
      <c r="A1049" s="237">
        <v>44328</v>
      </c>
      <c r="B1049" s="238">
        <v>90.28</v>
      </c>
      <c r="C1049" s="47">
        <f t="shared" si="35"/>
        <v>8.8691796008877333E-4</v>
      </c>
      <c r="E1049" s="81"/>
      <c r="F1049" s="82"/>
      <c r="G1049" s="81">
        <v>44272</v>
      </c>
      <c r="H1049" s="82">
        <v>317.39999999999998</v>
      </c>
      <c r="I1049" s="166">
        <f t="shared" si="34"/>
        <v>1.2343316429049844E-2</v>
      </c>
    </row>
    <row r="1050" spans="1:9" ht="18">
      <c r="A1050" s="237">
        <v>44329</v>
      </c>
      <c r="B1050" s="238">
        <v>89.98</v>
      </c>
      <c r="C1050" s="47">
        <f t="shared" si="35"/>
        <v>-3.3229951262737645E-3</v>
      </c>
      <c r="E1050" s="81"/>
      <c r="F1050" s="82"/>
      <c r="G1050" s="81">
        <v>44273</v>
      </c>
      <c r="H1050" s="82">
        <v>316.7</v>
      </c>
      <c r="I1050" s="166">
        <f t="shared" si="34"/>
        <v>-2.205419029615574E-3</v>
      </c>
    </row>
    <row r="1051" spans="1:9" ht="18">
      <c r="A1051" s="237">
        <v>44330</v>
      </c>
      <c r="B1051" s="238">
        <v>90.28</v>
      </c>
      <c r="C1051" s="47">
        <f t="shared" si="35"/>
        <v>3.3340742387197864E-3</v>
      </c>
      <c r="E1051" s="81"/>
      <c r="F1051" s="82"/>
      <c r="G1051" s="81">
        <v>44274</v>
      </c>
      <c r="H1051" s="82">
        <v>315.98</v>
      </c>
      <c r="I1051" s="166">
        <f t="shared" si="34"/>
        <v>-2.2734449005367141E-3</v>
      </c>
    </row>
    <row r="1052" spans="1:9" ht="18">
      <c r="A1052" s="237">
        <v>44331</v>
      </c>
      <c r="B1052" s="238">
        <v>90.45</v>
      </c>
      <c r="C1052" s="47">
        <f t="shared" si="35"/>
        <v>1.8830305715551443E-3</v>
      </c>
      <c r="E1052" s="81"/>
      <c r="F1052" s="82"/>
      <c r="G1052" s="81">
        <v>44275</v>
      </c>
      <c r="H1052" s="82">
        <v>313.55</v>
      </c>
      <c r="I1052" s="166">
        <f t="shared" si="34"/>
        <v>-7.6903601493765184E-3</v>
      </c>
    </row>
    <row r="1053" spans="1:9" ht="18">
      <c r="A1053" s="237">
        <v>44334</v>
      </c>
      <c r="B1053" s="238">
        <v>90.51</v>
      </c>
      <c r="C1053" s="47">
        <f t="shared" si="35"/>
        <v>6.6334991708139057E-4</v>
      </c>
      <c r="E1053" s="81"/>
      <c r="F1053" s="82"/>
      <c r="G1053" s="81">
        <v>44278</v>
      </c>
      <c r="H1053" s="82">
        <v>314.91000000000003</v>
      </c>
      <c r="I1053" s="166">
        <f t="shared" si="34"/>
        <v>4.3374262478073078E-3</v>
      </c>
    </row>
    <row r="1054" spans="1:9" ht="18">
      <c r="A1054" s="237">
        <v>44335</v>
      </c>
      <c r="B1054" s="238">
        <v>90.37</v>
      </c>
      <c r="C1054" s="47">
        <f t="shared" si="35"/>
        <v>-1.5467904098994678E-3</v>
      </c>
      <c r="E1054" s="81"/>
      <c r="F1054" s="82"/>
      <c r="G1054" s="81">
        <v>44279</v>
      </c>
      <c r="H1054" s="82">
        <v>313.23</v>
      </c>
      <c r="I1054" s="166">
        <f t="shared" si="34"/>
        <v>-5.3348575783557228E-3</v>
      </c>
    </row>
    <row r="1055" spans="1:9" ht="18">
      <c r="A1055" s="237">
        <v>44336</v>
      </c>
      <c r="B1055" s="238">
        <v>89.54</v>
      </c>
      <c r="C1055" s="47">
        <f t="shared" si="35"/>
        <v>-9.1844638707535564E-3</v>
      </c>
      <c r="E1055" s="81"/>
      <c r="F1055" s="82"/>
      <c r="G1055" s="81">
        <v>44280</v>
      </c>
      <c r="H1055" s="82">
        <v>313.31</v>
      </c>
      <c r="I1055" s="166">
        <f t="shared" si="34"/>
        <v>2.5540337770957322E-4</v>
      </c>
    </row>
    <row r="1056" spans="1:9" ht="18">
      <c r="A1056" s="237">
        <v>44337</v>
      </c>
      <c r="B1056" s="238">
        <v>89.84</v>
      </c>
      <c r="C1056" s="47">
        <f t="shared" si="35"/>
        <v>3.3504578959124842E-3</v>
      </c>
      <c r="E1056" s="81"/>
      <c r="F1056" s="82"/>
      <c r="G1056" s="81">
        <v>44281</v>
      </c>
      <c r="H1056" s="82">
        <v>313.56</v>
      </c>
      <c r="I1056" s="166">
        <f t="shared" si="34"/>
        <v>7.9793176087572526E-4</v>
      </c>
    </row>
    <row r="1057" spans="1:9" ht="18">
      <c r="A1057" s="237">
        <v>44338</v>
      </c>
      <c r="B1057" s="238">
        <v>89.93</v>
      </c>
      <c r="C1057" s="47">
        <f t="shared" si="35"/>
        <v>1.0017809439002434E-3</v>
      </c>
      <c r="E1057" s="81"/>
      <c r="F1057" s="82"/>
      <c r="G1057" s="81">
        <v>44282</v>
      </c>
      <c r="H1057" s="82">
        <v>311.11</v>
      </c>
      <c r="I1057" s="166">
        <f t="shared" si="34"/>
        <v>-7.813496619466731E-3</v>
      </c>
    </row>
    <row r="1058" spans="1:9" ht="18">
      <c r="A1058" s="237">
        <v>44342</v>
      </c>
      <c r="B1058" s="238">
        <v>90.48</v>
      </c>
      <c r="C1058" s="47">
        <f t="shared" si="35"/>
        <v>6.1158678972534908E-3</v>
      </c>
      <c r="E1058" s="81"/>
      <c r="F1058" s="82"/>
      <c r="G1058" s="81">
        <v>44285</v>
      </c>
      <c r="H1058" s="82">
        <v>306.47000000000003</v>
      </c>
      <c r="I1058" s="166">
        <f t="shared" si="34"/>
        <v>-1.4914338979782005E-2</v>
      </c>
    </row>
    <row r="1059" spans="1:9" ht="18">
      <c r="A1059" s="237">
        <v>44343</v>
      </c>
      <c r="B1059" s="238">
        <v>90.29</v>
      </c>
      <c r="C1059" s="47">
        <f t="shared" si="35"/>
        <v>-2.0999115826701997E-3</v>
      </c>
      <c r="E1059" s="81"/>
      <c r="F1059" s="82"/>
      <c r="G1059" s="81">
        <v>44286</v>
      </c>
      <c r="H1059" s="82">
        <v>308.62</v>
      </c>
      <c r="I1059" s="166">
        <f t="shared" si="34"/>
        <v>7.0153685515710329E-3</v>
      </c>
    </row>
    <row r="1060" spans="1:9" ht="18">
      <c r="A1060" s="237">
        <v>44344</v>
      </c>
      <c r="B1060" s="238">
        <v>90.6</v>
      </c>
      <c r="C1060" s="47">
        <f t="shared" si="35"/>
        <v>3.4333813268356828E-3</v>
      </c>
      <c r="E1060" s="81"/>
      <c r="F1060" s="82"/>
      <c r="G1060" s="81">
        <v>44287</v>
      </c>
      <c r="H1060" s="82">
        <v>309.19</v>
      </c>
      <c r="I1060" s="166">
        <f t="shared" si="34"/>
        <v>1.8469315015228194E-3</v>
      </c>
    </row>
    <row r="1061" spans="1:9" ht="18">
      <c r="A1061" s="237">
        <v>44345</v>
      </c>
      <c r="B1061" s="238">
        <v>90.6</v>
      </c>
      <c r="C1061" s="47">
        <f t="shared" si="35"/>
        <v>0</v>
      </c>
      <c r="E1061" s="81"/>
      <c r="F1061" s="82"/>
      <c r="G1061" s="81">
        <v>44288</v>
      </c>
      <c r="H1061" s="82">
        <v>307.12</v>
      </c>
      <c r="I1061" s="166">
        <f t="shared" si="34"/>
        <v>-6.6949125133413112E-3</v>
      </c>
    </row>
    <row r="1062" spans="1:9" ht="18">
      <c r="A1062" s="237">
        <v>44348</v>
      </c>
      <c r="B1062" s="238">
        <v>90.16</v>
      </c>
      <c r="C1062" s="47">
        <f t="shared" si="35"/>
        <v>-4.8565121412803558E-3</v>
      </c>
      <c r="E1062" s="81"/>
      <c r="F1062" s="82"/>
      <c r="G1062" s="81">
        <v>44289</v>
      </c>
      <c r="H1062" s="82">
        <v>302.13</v>
      </c>
      <c r="I1062" s="166">
        <f t="shared" si="34"/>
        <v>-1.6247720760614759E-2</v>
      </c>
    </row>
    <row r="1063" spans="1:9" ht="18">
      <c r="A1063" s="237">
        <v>44349</v>
      </c>
      <c r="B1063" s="238">
        <v>90.45</v>
      </c>
      <c r="C1063" s="47">
        <f t="shared" si="35"/>
        <v>3.2165039929015204E-3</v>
      </c>
      <c r="E1063" s="81"/>
      <c r="F1063" s="82"/>
      <c r="G1063" s="81">
        <v>44292</v>
      </c>
      <c r="H1063" s="82">
        <v>278.73</v>
      </c>
      <c r="I1063" s="166">
        <f t="shared" si="34"/>
        <v>-7.7450104259755626E-2</v>
      </c>
    </row>
    <row r="1064" spans="1:9" ht="18">
      <c r="A1064" s="237">
        <v>44350</v>
      </c>
      <c r="B1064" s="238">
        <v>90.79</v>
      </c>
      <c r="C1064" s="47">
        <f t="shared" si="35"/>
        <v>3.7589828634605471E-3</v>
      </c>
      <c r="E1064" s="81"/>
      <c r="F1064" s="82"/>
      <c r="G1064" s="81">
        <v>44293</v>
      </c>
      <c r="H1064" s="82">
        <v>278.60000000000002</v>
      </c>
      <c r="I1064" s="166">
        <f t="shared" si="34"/>
        <v>-4.6640117676599591E-4</v>
      </c>
    </row>
    <row r="1065" spans="1:9" ht="18">
      <c r="A1065" s="237">
        <v>44351</v>
      </c>
      <c r="B1065" s="238">
        <v>90.57</v>
      </c>
      <c r="C1065" s="47">
        <f t="shared" si="35"/>
        <v>-2.4231743584096632E-3</v>
      </c>
      <c r="E1065" s="81"/>
      <c r="F1065" s="82"/>
      <c r="G1065" s="81">
        <v>44294</v>
      </c>
      <c r="H1065" s="82">
        <v>276.02</v>
      </c>
      <c r="I1065" s="166">
        <f t="shared" si="34"/>
        <v>-9.2605886575737317E-3</v>
      </c>
    </row>
    <row r="1066" spans="1:9" ht="18">
      <c r="A1066" s="237">
        <v>44352</v>
      </c>
      <c r="B1066" s="238">
        <v>90.43</v>
      </c>
      <c r="C1066" s="47">
        <f t="shared" si="35"/>
        <v>-1.5457657060835572E-3</v>
      </c>
      <c r="E1066" s="81"/>
      <c r="F1066" s="82"/>
      <c r="G1066" s="81">
        <v>44295</v>
      </c>
      <c r="H1066" s="82">
        <v>284.54000000000002</v>
      </c>
      <c r="I1066" s="166">
        <f t="shared" si="34"/>
        <v>3.0867328454460052E-2</v>
      </c>
    </row>
    <row r="1067" spans="1:9" ht="18">
      <c r="A1067" s="237">
        <v>44355</v>
      </c>
      <c r="B1067" s="238">
        <v>90.66</v>
      </c>
      <c r="C1067" s="47">
        <f t="shared" si="35"/>
        <v>2.5434037376974583E-3</v>
      </c>
      <c r="E1067" s="81"/>
      <c r="F1067" s="82"/>
      <c r="G1067" s="81">
        <v>44296</v>
      </c>
      <c r="H1067" s="82">
        <v>289.64999999999998</v>
      </c>
      <c r="I1067" s="166">
        <f t="shared" si="34"/>
        <v>1.7958810712026319E-2</v>
      </c>
    </row>
    <row r="1068" spans="1:9" ht="18">
      <c r="A1068" s="237">
        <v>44356</v>
      </c>
      <c r="B1068" s="238">
        <v>91.06</v>
      </c>
      <c r="C1068" s="47">
        <f t="shared" si="35"/>
        <v>4.4120891242003246E-3</v>
      </c>
      <c r="E1068" s="81"/>
      <c r="F1068" s="82"/>
      <c r="G1068" s="81">
        <v>44299</v>
      </c>
      <c r="H1068" s="82">
        <v>293.49</v>
      </c>
      <c r="I1068" s="166">
        <f t="shared" si="34"/>
        <v>1.3257379596064434E-2</v>
      </c>
    </row>
    <row r="1069" spans="1:9" ht="18">
      <c r="A1069" s="237">
        <v>44357</v>
      </c>
      <c r="B1069" s="238">
        <v>91.33</v>
      </c>
      <c r="C1069" s="47">
        <f t="shared" si="35"/>
        <v>2.9650779705687746E-3</v>
      </c>
      <c r="E1069" s="81"/>
      <c r="F1069" s="82"/>
      <c r="G1069" s="81">
        <v>44300</v>
      </c>
      <c r="H1069" s="82">
        <v>296.61</v>
      </c>
      <c r="I1069" s="166">
        <f t="shared" si="34"/>
        <v>1.0630685883675772E-2</v>
      </c>
    </row>
    <row r="1070" spans="1:9" ht="18">
      <c r="A1070" s="237">
        <v>44358</v>
      </c>
      <c r="B1070" s="238">
        <v>91.49</v>
      </c>
      <c r="C1070" s="47">
        <f t="shared" si="35"/>
        <v>1.7518887550640461E-3</v>
      </c>
      <c r="E1070" s="81"/>
      <c r="F1070" s="82"/>
      <c r="G1070" s="81">
        <v>44301</v>
      </c>
      <c r="H1070" s="82">
        <v>294.01</v>
      </c>
      <c r="I1070" s="166">
        <f t="shared" si="34"/>
        <v>-8.7657192946968276E-3</v>
      </c>
    </row>
    <row r="1071" spans="1:9" ht="18">
      <c r="A1071" s="237">
        <v>44359</v>
      </c>
      <c r="B1071" s="238">
        <v>90.91</v>
      </c>
      <c r="C1071" s="47">
        <f t="shared" si="35"/>
        <v>-6.3394906547163954E-3</v>
      </c>
      <c r="E1071" s="81"/>
      <c r="F1071" s="82"/>
      <c r="G1071" s="81">
        <v>44302</v>
      </c>
      <c r="H1071" s="82">
        <v>295.97000000000003</v>
      </c>
      <c r="I1071" s="166">
        <f t="shared" si="34"/>
        <v>6.6664399170097699E-3</v>
      </c>
    </row>
    <row r="1072" spans="1:9" ht="18">
      <c r="A1072" s="237">
        <v>44362</v>
      </c>
      <c r="B1072" s="238">
        <v>91.01</v>
      </c>
      <c r="C1072" s="47">
        <f t="shared" si="35"/>
        <v>1.099989000109991E-3</v>
      </c>
      <c r="E1072" s="81"/>
      <c r="F1072" s="82"/>
      <c r="G1072" s="81">
        <v>44303</v>
      </c>
      <c r="H1072" s="82">
        <v>296.23</v>
      </c>
      <c r="I1072" s="166">
        <f t="shared" si="34"/>
        <v>8.7846741223773783E-4</v>
      </c>
    </row>
    <row r="1073" spans="1:9" ht="18">
      <c r="A1073" s="237">
        <v>44363</v>
      </c>
      <c r="B1073" s="238">
        <v>91.08</v>
      </c>
      <c r="C1073" s="47">
        <f t="shared" si="35"/>
        <v>7.6914624766510897E-4</v>
      </c>
      <c r="E1073" s="81"/>
      <c r="F1073" s="82"/>
      <c r="G1073" s="81">
        <v>44306</v>
      </c>
      <c r="H1073" s="82">
        <v>297.08999999999997</v>
      </c>
      <c r="I1073" s="166">
        <f t="shared" si="34"/>
        <v>2.9031495797182671E-3</v>
      </c>
    </row>
    <row r="1074" spans="1:9" ht="18">
      <c r="A1074" s="237">
        <v>44364</v>
      </c>
      <c r="B1074" s="238">
        <v>91.02</v>
      </c>
      <c r="C1074" s="47">
        <f t="shared" si="35"/>
        <v>-6.5876152832677892E-4</v>
      </c>
      <c r="E1074" s="81"/>
      <c r="F1074" s="82"/>
      <c r="G1074" s="81">
        <v>44307</v>
      </c>
      <c r="H1074" s="82">
        <v>297.98</v>
      </c>
      <c r="I1074" s="166">
        <f t="shared" si="34"/>
        <v>2.9957252011176827E-3</v>
      </c>
    </row>
    <row r="1075" spans="1:9" ht="18">
      <c r="A1075" s="237">
        <v>44366</v>
      </c>
      <c r="B1075" s="238">
        <v>91.14</v>
      </c>
      <c r="C1075" s="47">
        <f t="shared" si="35"/>
        <v>1.3183915622940745E-3</v>
      </c>
      <c r="E1075" s="81"/>
      <c r="F1075" s="82"/>
      <c r="G1075" s="81">
        <v>44308</v>
      </c>
      <c r="H1075" s="82">
        <v>303.69</v>
      </c>
      <c r="I1075" s="166">
        <f t="shared" si="34"/>
        <v>1.9162359889925318E-2</v>
      </c>
    </row>
    <row r="1076" spans="1:9" ht="18">
      <c r="A1076" s="237">
        <v>44369</v>
      </c>
      <c r="B1076" s="238">
        <v>91.4</v>
      </c>
      <c r="C1076" s="47">
        <f t="shared" si="35"/>
        <v>2.8527540048277622E-3</v>
      </c>
      <c r="E1076" s="81"/>
      <c r="F1076" s="82"/>
      <c r="G1076" s="81">
        <v>44309</v>
      </c>
      <c r="H1076" s="82">
        <v>303.45</v>
      </c>
      <c r="I1076" s="166">
        <f t="shared" si="34"/>
        <v>-7.9027956139487987E-4</v>
      </c>
    </row>
    <row r="1077" spans="1:9" ht="18">
      <c r="A1077" s="237">
        <v>44370</v>
      </c>
      <c r="B1077" s="238">
        <v>91.95</v>
      </c>
      <c r="C1077" s="47">
        <f t="shared" si="35"/>
        <v>6.0175054704594277E-3</v>
      </c>
      <c r="E1077" s="81"/>
      <c r="F1077" s="82"/>
      <c r="G1077" s="81">
        <v>44310</v>
      </c>
      <c r="H1077" s="82">
        <v>304.07</v>
      </c>
      <c r="I1077" s="166">
        <f t="shared" si="34"/>
        <v>2.0431702092602588E-3</v>
      </c>
    </row>
    <row r="1078" spans="1:9" ht="18">
      <c r="A1078" s="237">
        <v>44371</v>
      </c>
      <c r="B1078" s="238">
        <v>91.9</v>
      </c>
      <c r="C1078" s="47">
        <f t="shared" si="35"/>
        <v>-5.4377379010328575E-4</v>
      </c>
      <c r="E1078" s="81"/>
      <c r="F1078" s="82"/>
      <c r="G1078" s="81">
        <v>44313</v>
      </c>
      <c r="H1078" s="82">
        <v>305.74</v>
      </c>
      <c r="I1078" s="166">
        <f t="shared" si="34"/>
        <v>5.492156411352811E-3</v>
      </c>
    </row>
    <row r="1079" spans="1:9" ht="18">
      <c r="A1079" s="237">
        <v>44372</v>
      </c>
      <c r="B1079" s="238">
        <v>92.18</v>
      </c>
      <c r="C1079" s="47">
        <f t="shared" si="35"/>
        <v>3.0467899891186701E-3</v>
      </c>
      <c r="E1079" s="81"/>
      <c r="F1079" s="82"/>
      <c r="G1079" s="81">
        <v>44314</v>
      </c>
      <c r="H1079" s="82">
        <v>306.79000000000002</v>
      </c>
      <c r="I1079" s="166">
        <f t="shared" si="34"/>
        <v>3.4342905736901574E-3</v>
      </c>
    </row>
    <row r="1080" spans="1:9" ht="18">
      <c r="A1080" s="237">
        <v>44373</v>
      </c>
      <c r="B1080" s="238">
        <v>92.1</v>
      </c>
      <c r="C1080" s="47">
        <f t="shared" si="35"/>
        <v>-8.678672163160428E-4</v>
      </c>
      <c r="E1080" s="81"/>
      <c r="F1080" s="82"/>
      <c r="G1080" s="81">
        <v>44315</v>
      </c>
      <c r="H1080" s="82">
        <v>308.17</v>
      </c>
      <c r="I1080" s="166">
        <f t="shared" si="34"/>
        <v>4.4981909449459678E-3</v>
      </c>
    </row>
    <row r="1081" spans="1:9" ht="18">
      <c r="A1081" s="237">
        <v>44376</v>
      </c>
      <c r="B1081" s="238">
        <v>92.62</v>
      </c>
      <c r="C1081" s="47">
        <f t="shared" si="35"/>
        <v>5.6460369163953139E-3</v>
      </c>
      <c r="E1081" s="81"/>
      <c r="F1081" s="82"/>
      <c r="G1081" s="81">
        <v>44316</v>
      </c>
      <c r="H1081" s="82">
        <v>307.92</v>
      </c>
      <c r="I1081" s="166">
        <f t="shared" si="34"/>
        <v>-8.1124054904757603E-4</v>
      </c>
    </row>
    <row r="1082" spans="1:9" ht="18">
      <c r="A1082" s="237">
        <v>44377</v>
      </c>
      <c r="B1082" s="238">
        <v>92.42</v>
      </c>
      <c r="C1082" s="47">
        <f t="shared" si="35"/>
        <v>-2.1593608291945454E-3</v>
      </c>
      <c r="E1082" s="81"/>
      <c r="F1082" s="82"/>
      <c r="G1082" s="81">
        <v>44317</v>
      </c>
      <c r="H1082" s="82">
        <v>313.79000000000002</v>
      </c>
      <c r="I1082" s="166">
        <f t="shared" si="34"/>
        <v>1.9063393089113978E-2</v>
      </c>
    </row>
    <row r="1083" spans="1:9" ht="18">
      <c r="A1083" s="237">
        <v>44378</v>
      </c>
      <c r="B1083" s="238">
        <v>92.33</v>
      </c>
      <c r="C1083" s="47">
        <f t="shared" si="35"/>
        <v>-9.7381519151706897E-4</v>
      </c>
      <c r="E1083" s="81"/>
      <c r="F1083" s="82"/>
      <c r="G1083" s="81">
        <v>44320</v>
      </c>
      <c r="H1083" s="82">
        <v>315.8</v>
      </c>
      <c r="I1083" s="166">
        <f t="shared" si="34"/>
        <v>6.4055578571655669E-3</v>
      </c>
    </row>
    <row r="1084" spans="1:9" ht="18">
      <c r="A1084" s="237">
        <v>44379</v>
      </c>
      <c r="B1084" s="238">
        <v>92.49</v>
      </c>
      <c r="C1084" s="47">
        <f t="shared" si="35"/>
        <v>1.7329145456514983E-3</v>
      </c>
      <c r="E1084" s="81"/>
      <c r="F1084" s="82"/>
      <c r="G1084" s="81">
        <v>44321</v>
      </c>
      <c r="H1084" s="82">
        <v>315.11</v>
      </c>
      <c r="I1084" s="166">
        <f t="shared" si="34"/>
        <v>-2.1849271690943528E-3</v>
      </c>
    </row>
    <row r="1085" spans="1:9" ht="18">
      <c r="A1085" s="237">
        <v>44383</v>
      </c>
      <c r="B1085" s="238">
        <v>92.02</v>
      </c>
      <c r="C1085" s="47">
        <f t="shared" si="35"/>
        <v>-5.0816304465347573E-3</v>
      </c>
      <c r="E1085" s="81"/>
      <c r="F1085" s="82"/>
      <c r="G1085" s="81">
        <v>44322</v>
      </c>
      <c r="H1085" s="82">
        <v>314.85000000000002</v>
      </c>
      <c r="I1085" s="166">
        <f t="shared" si="34"/>
        <v>-8.2510869220264738E-4</v>
      </c>
    </row>
    <row r="1086" spans="1:9" ht="18">
      <c r="A1086" s="237">
        <v>44384</v>
      </c>
      <c r="B1086" s="238">
        <v>91.73</v>
      </c>
      <c r="C1086" s="47">
        <f t="shared" si="35"/>
        <v>-3.1514888067810665E-3</v>
      </c>
      <c r="E1086" s="81"/>
      <c r="F1086" s="82"/>
      <c r="G1086" s="81">
        <v>44323</v>
      </c>
      <c r="H1086" s="82">
        <v>313.66000000000003</v>
      </c>
      <c r="I1086" s="166">
        <f t="shared" si="34"/>
        <v>-3.7795775766237272E-3</v>
      </c>
    </row>
    <row r="1087" spans="1:9" ht="18">
      <c r="A1087" s="237">
        <v>44385</v>
      </c>
      <c r="B1087" s="238">
        <v>92.38</v>
      </c>
      <c r="C1087" s="47">
        <f t="shared" si="35"/>
        <v>7.0860132999017722E-3</v>
      </c>
      <c r="E1087" s="81"/>
      <c r="F1087" s="82"/>
      <c r="G1087" s="81">
        <v>44324</v>
      </c>
      <c r="H1087" s="82">
        <v>315</v>
      </c>
      <c r="I1087" s="166">
        <f t="shared" si="34"/>
        <v>4.2721418096027808E-3</v>
      </c>
    </row>
    <row r="1088" spans="1:9" ht="18">
      <c r="A1088" s="237">
        <v>44386</v>
      </c>
      <c r="B1088" s="238">
        <v>92.24</v>
      </c>
      <c r="C1088" s="47">
        <f t="shared" si="35"/>
        <v>-1.5154795410261546E-3</v>
      </c>
      <c r="E1088" s="81"/>
      <c r="F1088" s="82"/>
      <c r="G1088" s="81">
        <v>44327</v>
      </c>
      <c r="H1088" s="82">
        <v>321.47000000000003</v>
      </c>
      <c r="I1088" s="166">
        <f t="shared" si="34"/>
        <v>2.0539682539682635E-2</v>
      </c>
    </row>
    <row r="1089" spans="1:9" ht="18">
      <c r="A1089" s="237">
        <v>44387</v>
      </c>
      <c r="B1089" s="238">
        <v>91.76</v>
      </c>
      <c r="C1089" s="47">
        <f t="shared" si="35"/>
        <v>-5.2038161318298526E-3</v>
      </c>
      <c r="E1089" s="81"/>
      <c r="F1089" s="82"/>
      <c r="G1089" s="81">
        <v>44328</v>
      </c>
      <c r="H1089" s="82">
        <v>320.79000000000002</v>
      </c>
      <c r="I1089" s="166">
        <f t="shared" si="34"/>
        <v>-2.1152829190904665E-3</v>
      </c>
    </row>
    <row r="1090" spans="1:9" ht="18">
      <c r="A1090" s="237">
        <v>44390</v>
      </c>
      <c r="B1090" s="238">
        <v>91.77</v>
      </c>
      <c r="C1090" s="47">
        <f t="shared" si="35"/>
        <v>1.0897994768943597E-4</v>
      </c>
      <c r="E1090" s="81"/>
      <c r="F1090" s="82"/>
      <c r="G1090" s="81">
        <v>44329</v>
      </c>
      <c r="H1090" s="82">
        <v>325.37</v>
      </c>
      <c r="I1090" s="166">
        <f t="shared" si="34"/>
        <v>1.427725303157823E-2</v>
      </c>
    </row>
    <row r="1091" spans="1:9" ht="18">
      <c r="A1091" s="237">
        <v>44391</v>
      </c>
      <c r="B1091" s="238">
        <v>91.52</v>
      </c>
      <c r="C1091" s="47">
        <f t="shared" si="35"/>
        <v>-2.7242018088700082E-3</v>
      </c>
      <c r="E1091" s="81"/>
      <c r="F1091" s="82"/>
      <c r="G1091" s="81">
        <v>44330</v>
      </c>
      <c r="H1091" s="82">
        <v>324.98</v>
      </c>
      <c r="I1091" s="166">
        <f t="shared" si="34"/>
        <v>-1.1986353996987775E-3</v>
      </c>
    </row>
    <row r="1092" spans="1:9" ht="18">
      <c r="A1092" s="237">
        <v>44392</v>
      </c>
      <c r="B1092" s="238">
        <v>91.59</v>
      </c>
      <c r="C1092" s="47">
        <f t="shared" si="35"/>
        <v>7.6486013986021284E-4</v>
      </c>
      <c r="E1092" s="81"/>
      <c r="F1092" s="82"/>
      <c r="G1092" s="81">
        <v>44331</v>
      </c>
      <c r="H1092" s="82">
        <v>324.91000000000003</v>
      </c>
      <c r="I1092" s="166">
        <f t="shared" si="34"/>
        <v>-2.1539787063817872E-4</v>
      </c>
    </row>
    <row r="1093" spans="1:9" ht="18">
      <c r="A1093" s="237">
        <v>44393</v>
      </c>
      <c r="B1093" s="238">
        <v>91.69</v>
      </c>
      <c r="C1093" s="47">
        <f t="shared" si="35"/>
        <v>1.0918222513374154E-3</v>
      </c>
      <c r="E1093" s="81"/>
      <c r="F1093" s="82"/>
      <c r="G1093" s="81">
        <v>44334</v>
      </c>
      <c r="H1093" s="82">
        <v>323.91000000000003</v>
      </c>
      <c r="I1093" s="166">
        <f t="shared" si="34"/>
        <v>-3.0777753839524857E-3</v>
      </c>
    </row>
    <row r="1094" spans="1:9" ht="18">
      <c r="A1094" s="237">
        <v>44394</v>
      </c>
      <c r="B1094" s="238">
        <v>91.89</v>
      </c>
      <c r="C1094" s="47">
        <f t="shared" si="35"/>
        <v>2.1812629512487636E-3</v>
      </c>
      <c r="E1094" s="81"/>
      <c r="F1094" s="82"/>
      <c r="G1094" s="81">
        <v>44335</v>
      </c>
      <c r="H1094" s="82">
        <v>323.92</v>
      </c>
      <c r="I1094" s="166">
        <f t="shared" si="34"/>
        <v>3.087277330116045E-5</v>
      </c>
    </row>
    <row r="1095" spans="1:9" ht="18">
      <c r="A1095" s="237">
        <v>44397</v>
      </c>
      <c r="B1095" s="238">
        <v>92.24</v>
      </c>
      <c r="C1095" s="47">
        <f t="shared" si="35"/>
        <v>3.8089019479812247E-3</v>
      </c>
      <c r="E1095" s="81"/>
      <c r="F1095" s="82"/>
      <c r="G1095" s="81">
        <v>44336</v>
      </c>
      <c r="H1095" s="82">
        <v>325.76</v>
      </c>
      <c r="I1095" s="166">
        <f t="shared" si="34"/>
        <v>5.6804149172633434E-3</v>
      </c>
    </row>
    <row r="1096" spans="1:9" ht="18">
      <c r="A1096" s="237">
        <v>44398</v>
      </c>
      <c r="B1096" s="238">
        <v>92.4</v>
      </c>
      <c r="C1096" s="47">
        <f t="shared" si="35"/>
        <v>1.7346053772768766E-3</v>
      </c>
      <c r="E1096" s="81"/>
      <c r="F1096" s="82"/>
      <c r="G1096" s="81">
        <v>44337</v>
      </c>
      <c r="H1096" s="82">
        <v>323.55</v>
      </c>
      <c r="I1096" s="166">
        <f t="shared" si="34"/>
        <v>-6.7841355599213005E-3</v>
      </c>
    </row>
    <row r="1097" spans="1:9" ht="18">
      <c r="A1097" s="237">
        <v>44399</v>
      </c>
      <c r="B1097" s="238">
        <v>92.44</v>
      </c>
      <c r="C1097" s="47">
        <f t="shared" si="35"/>
        <v>4.3290043290045155E-4</v>
      </c>
      <c r="E1097" s="81"/>
      <c r="F1097" s="82"/>
      <c r="G1097" s="81">
        <v>44338</v>
      </c>
      <c r="H1097" s="82">
        <v>325.01</v>
      </c>
      <c r="I1097" s="166">
        <f t="shared" si="34"/>
        <v>4.512440117447003E-3</v>
      </c>
    </row>
    <row r="1098" spans="1:9" ht="18">
      <c r="A1098" s="237">
        <v>44400</v>
      </c>
      <c r="B1098" s="238">
        <v>92.42</v>
      </c>
      <c r="C1098" s="47">
        <f t="shared" si="35"/>
        <v>-2.1635655560359179E-4</v>
      </c>
      <c r="E1098" s="81"/>
      <c r="F1098" s="82"/>
      <c r="G1098" s="81">
        <v>44341</v>
      </c>
      <c r="H1098" s="82">
        <v>324.26</v>
      </c>
      <c r="I1098" s="166">
        <f t="shared" si="34"/>
        <v>-2.3076213039598947E-3</v>
      </c>
    </row>
    <row r="1099" spans="1:9" ht="18">
      <c r="A1099" s="237">
        <v>44401</v>
      </c>
      <c r="B1099" s="238">
        <v>92.72</v>
      </c>
      <c r="C1099" s="47">
        <f t="shared" si="35"/>
        <v>3.2460506383900078E-3</v>
      </c>
      <c r="E1099" s="81"/>
      <c r="F1099" s="82"/>
      <c r="G1099" s="81">
        <v>44342</v>
      </c>
      <c r="H1099" s="82">
        <v>322.83999999999997</v>
      </c>
      <c r="I1099" s="166">
        <f t="shared" si="34"/>
        <v>-4.3792018750385964E-3</v>
      </c>
    </row>
    <row r="1100" spans="1:9" ht="18">
      <c r="A1100" s="237">
        <v>44404</v>
      </c>
      <c r="B1100" s="238">
        <v>92.66</v>
      </c>
      <c r="C1100" s="47">
        <f t="shared" si="35"/>
        <v>-6.4710957722180495E-4</v>
      </c>
      <c r="E1100" s="81"/>
      <c r="F1100" s="82"/>
      <c r="G1100" s="81">
        <v>44343</v>
      </c>
      <c r="H1100" s="82">
        <v>322.45</v>
      </c>
      <c r="I1100" s="166">
        <f t="shared" si="34"/>
        <v>-1.2080287448891225E-3</v>
      </c>
    </row>
    <row r="1101" spans="1:9" ht="18">
      <c r="A1101" s="237">
        <v>44405</v>
      </c>
      <c r="B1101" s="238">
        <v>93.01</v>
      </c>
      <c r="C1101" s="47">
        <f t="shared" si="35"/>
        <v>3.7772501618822396E-3</v>
      </c>
      <c r="E1101" s="81"/>
      <c r="F1101" s="82"/>
      <c r="G1101" s="81">
        <v>44344</v>
      </c>
      <c r="H1101" s="82">
        <v>323.95</v>
      </c>
      <c r="I1101" s="166">
        <f t="shared" si="34"/>
        <v>4.6518840130251871E-3</v>
      </c>
    </row>
    <row r="1102" spans="1:9" ht="18">
      <c r="A1102" s="237">
        <v>44406</v>
      </c>
      <c r="B1102" s="238">
        <v>92.85</v>
      </c>
      <c r="C1102" s="47">
        <f t="shared" si="35"/>
        <v>-1.7202451349318526E-3</v>
      </c>
      <c r="E1102" s="81"/>
      <c r="F1102" s="82"/>
      <c r="G1102" s="81">
        <v>44345</v>
      </c>
      <c r="H1102" s="82">
        <v>320.91000000000003</v>
      </c>
      <c r="I1102" s="166">
        <f t="shared" si="34"/>
        <v>-9.3841642228738031E-3</v>
      </c>
    </row>
    <row r="1103" spans="1:9" ht="18">
      <c r="A1103" s="237">
        <v>44407</v>
      </c>
      <c r="B1103" s="238">
        <v>92.87</v>
      </c>
      <c r="C1103" s="47">
        <f t="shared" si="35"/>
        <v>2.1540118470664282E-4</v>
      </c>
      <c r="E1103" s="81"/>
      <c r="F1103" s="82"/>
      <c r="G1103" s="81">
        <v>44348</v>
      </c>
      <c r="H1103" s="82">
        <v>319.66000000000003</v>
      </c>
      <c r="I1103" s="166">
        <f t="shared" ref="I1103:I1166" si="36">H1103/H1102-1</f>
        <v>-3.8951731014926771E-3</v>
      </c>
    </row>
    <row r="1104" spans="1:9" ht="18">
      <c r="A1104" s="237">
        <v>44408</v>
      </c>
      <c r="B1104" s="238">
        <v>92.72</v>
      </c>
      <c r="C1104" s="47">
        <f t="shared" si="35"/>
        <v>-1.6151609777108611E-3</v>
      </c>
      <c r="E1104" s="81"/>
      <c r="F1104" s="82"/>
      <c r="G1104" s="81">
        <v>44349</v>
      </c>
      <c r="H1104" s="82">
        <v>320.95999999999998</v>
      </c>
      <c r="I1104" s="166">
        <f t="shared" si="36"/>
        <v>4.0668209973095948E-3</v>
      </c>
    </row>
    <row r="1105" spans="1:9" ht="18">
      <c r="A1105" s="237">
        <v>44411</v>
      </c>
      <c r="B1105" s="238">
        <v>93.18</v>
      </c>
      <c r="C1105" s="47">
        <f t="shared" si="35"/>
        <v>4.9611734253667272E-3</v>
      </c>
      <c r="E1105" s="81"/>
      <c r="F1105" s="82"/>
      <c r="G1105" s="81">
        <v>44350</v>
      </c>
      <c r="H1105" s="82">
        <v>324.07</v>
      </c>
      <c r="I1105" s="166">
        <f t="shared" si="36"/>
        <v>9.6896809571287434E-3</v>
      </c>
    </row>
    <row r="1106" spans="1:9" ht="18">
      <c r="A1106" s="237">
        <v>44412</v>
      </c>
      <c r="B1106" s="238">
        <v>93.18</v>
      </c>
      <c r="C1106" s="47">
        <f t="shared" si="35"/>
        <v>0</v>
      </c>
      <c r="E1106" s="81"/>
      <c r="F1106" s="82"/>
      <c r="G1106" s="81">
        <v>44351</v>
      </c>
      <c r="H1106" s="82">
        <v>326.11</v>
      </c>
      <c r="I1106" s="166">
        <f t="shared" si="36"/>
        <v>6.2949362791990815E-3</v>
      </c>
    </row>
    <row r="1107" spans="1:9" ht="18">
      <c r="A1107" s="237">
        <v>44413</v>
      </c>
      <c r="B1107" s="238">
        <v>93.24</v>
      </c>
      <c r="C1107" s="47">
        <f t="shared" si="35"/>
        <v>6.4391500321936412E-4</v>
      </c>
      <c r="E1107" s="81"/>
      <c r="F1107" s="82"/>
      <c r="G1107" s="81">
        <v>44352</v>
      </c>
      <c r="H1107" s="82">
        <v>326.25</v>
      </c>
      <c r="I1107" s="166">
        <f t="shared" si="36"/>
        <v>4.2930299592147669E-4</v>
      </c>
    </row>
    <row r="1108" spans="1:9" ht="18">
      <c r="A1108" s="237">
        <v>44414</v>
      </c>
      <c r="B1108" s="238">
        <v>93.38</v>
      </c>
      <c r="C1108" s="47">
        <f t="shared" si="35"/>
        <v>1.5015015015014122E-3</v>
      </c>
      <c r="E1108" s="81"/>
      <c r="F1108" s="82"/>
      <c r="G1108" s="81">
        <v>44355</v>
      </c>
      <c r="H1108" s="82">
        <v>328.81</v>
      </c>
      <c r="I1108" s="166">
        <f t="shared" si="36"/>
        <v>7.8467432950191096E-3</v>
      </c>
    </row>
    <row r="1109" spans="1:9" ht="18">
      <c r="A1109" s="237">
        <v>44415</v>
      </c>
      <c r="B1109" s="238">
        <v>93.38</v>
      </c>
      <c r="C1109" s="47">
        <f t="shared" si="35"/>
        <v>0</v>
      </c>
      <c r="E1109" s="81"/>
      <c r="F1109" s="82"/>
      <c r="G1109" s="81">
        <v>44356</v>
      </c>
      <c r="H1109" s="82">
        <v>330.94</v>
      </c>
      <c r="I1109" s="166">
        <f t="shared" si="36"/>
        <v>6.477905173200238E-3</v>
      </c>
    </row>
    <row r="1110" spans="1:9" ht="18">
      <c r="A1110" s="237">
        <v>44418</v>
      </c>
      <c r="B1110" s="238">
        <v>93.5</v>
      </c>
      <c r="C1110" s="47">
        <f t="shared" si="35"/>
        <v>1.2850717498393838E-3</v>
      </c>
      <c r="E1110" s="81"/>
      <c r="F1110" s="82"/>
      <c r="G1110" s="81">
        <v>44357</v>
      </c>
      <c r="H1110" s="82">
        <v>333.08</v>
      </c>
      <c r="I1110" s="166">
        <f t="shared" si="36"/>
        <v>6.4664289599323244E-3</v>
      </c>
    </row>
    <row r="1111" spans="1:9" ht="18">
      <c r="A1111" s="237">
        <v>44419</v>
      </c>
      <c r="B1111" s="238">
        <v>93.68</v>
      </c>
      <c r="C1111" s="47">
        <f t="shared" ref="C1111:C1174" si="37">B1111/B1110-1</f>
        <v>1.9251336898395977E-3</v>
      </c>
      <c r="E1111" s="81"/>
      <c r="F1111" s="82"/>
      <c r="G1111" s="81">
        <v>44358</v>
      </c>
      <c r="H1111" s="82">
        <v>331.02</v>
      </c>
      <c r="I1111" s="166">
        <f t="shared" si="36"/>
        <v>-6.1847003722829141E-3</v>
      </c>
    </row>
    <row r="1112" spans="1:9" ht="18">
      <c r="A1112" s="237">
        <v>44420</v>
      </c>
      <c r="B1112" s="238">
        <v>94.14</v>
      </c>
      <c r="C1112" s="47">
        <f t="shared" si="37"/>
        <v>4.9103330486763852E-3</v>
      </c>
      <c r="E1112" s="81"/>
      <c r="F1112" s="82"/>
      <c r="G1112" s="81">
        <v>44359</v>
      </c>
      <c r="H1112" s="82">
        <v>327.57</v>
      </c>
      <c r="I1112" s="166">
        <f t="shared" si="36"/>
        <v>-1.0422330976980199E-2</v>
      </c>
    </row>
    <row r="1113" spans="1:9" ht="18">
      <c r="A1113" s="237">
        <v>44421</v>
      </c>
      <c r="B1113" s="238">
        <v>93.93</v>
      </c>
      <c r="C1113" s="47">
        <f t="shared" si="37"/>
        <v>-2.2307202039515417E-3</v>
      </c>
      <c r="E1113" s="81"/>
      <c r="F1113" s="82"/>
      <c r="G1113" s="81">
        <v>44362</v>
      </c>
      <c r="H1113" s="82">
        <v>329.36</v>
      </c>
      <c r="I1113" s="166">
        <f t="shared" si="36"/>
        <v>5.464480874316946E-3</v>
      </c>
    </row>
    <row r="1114" spans="1:9" ht="18">
      <c r="A1114" s="237">
        <v>44422</v>
      </c>
      <c r="B1114" s="238">
        <v>93.85</v>
      </c>
      <c r="C1114" s="47">
        <f t="shared" si="37"/>
        <v>-8.5169807303320244E-4</v>
      </c>
      <c r="E1114" s="81"/>
      <c r="F1114" s="82"/>
      <c r="G1114" s="81">
        <v>44363</v>
      </c>
      <c r="H1114" s="82">
        <v>328.52</v>
      </c>
      <c r="I1114" s="166">
        <f t="shared" si="36"/>
        <v>-2.5504007772650938E-3</v>
      </c>
    </row>
    <row r="1115" spans="1:9" ht="18">
      <c r="A1115" s="237">
        <v>44425</v>
      </c>
      <c r="B1115" s="238">
        <v>93.94</v>
      </c>
      <c r="C1115" s="47">
        <f t="shared" si="37"/>
        <v>9.589770911029305E-4</v>
      </c>
      <c r="E1115" s="81"/>
      <c r="F1115" s="82"/>
      <c r="G1115" s="81">
        <v>44364</v>
      </c>
      <c r="H1115" s="82">
        <v>327.27999999999997</v>
      </c>
      <c r="I1115" s="166">
        <f t="shared" si="36"/>
        <v>-3.7745038353829141E-3</v>
      </c>
    </row>
    <row r="1116" spans="1:9" ht="18">
      <c r="A1116" s="237">
        <v>44426</v>
      </c>
      <c r="B1116" s="238">
        <v>93.98</v>
      </c>
      <c r="C1116" s="47">
        <f t="shared" si="37"/>
        <v>4.2580370449218918E-4</v>
      </c>
      <c r="E1116" s="81"/>
      <c r="F1116" s="82"/>
      <c r="G1116" s="81">
        <v>44365</v>
      </c>
      <c r="H1116" s="82">
        <v>322.56</v>
      </c>
      <c r="I1116" s="166">
        <f t="shared" si="36"/>
        <v>-1.442190173551694E-2</v>
      </c>
    </row>
    <row r="1117" spans="1:9" ht="18">
      <c r="A1117" s="237">
        <v>44427</v>
      </c>
      <c r="B1117" s="238">
        <v>93.83</v>
      </c>
      <c r="C1117" s="47">
        <f t="shared" si="37"/>
        <v>-1.5960842732496427E-3</v>
      </c>
      <c r="E1117" s="81"/>
      <c r="F1117" s="82"/>
      <c r="G1117" s="81">
        <v>44366</v>
      </c>
      <c r="H1117" s="82">
        <v>324.69</v>
      </c>
      <c r="I1117" s="166">
        <f t="shared" si="36"/>
        <v>6.6034226190476719E-3</v>
      </c>
    </row>
    <row r="1118" spans="1:9" ht="18">
      <c r="A1118" s="237">
        <v>44428</v>
      </c>
      <c r="B1118" s="238">
        <v>93.53</v>
      </c>
      <c r="C1118" s="47">
        <f t="shared" si="37"/>
        <v>-3.1972716615155106E-3</v>
      </c>
      <c r="E1118" s="81"/>
      <c r="F1118" s="82"/>
      <c r="G1118" s="81">
        <v>44369</v>
      </c>
      <c r="H1118" s="82">
        <v>323.44</v>
      </c>
      <c r="I1118" s="166">
        <f t="shared" si="36"/>
        <v>-3.8498259878653185E-3</v>
      </c>
    </row>
    <row r="1119" spans="1:9" ht="18">
      <c r="A1119" s="237">
        <v>44429</v>
      </c>
      <c r="B1119" s="238">
        <v>94.21</v>
      </c>
      <c r="C1119" s="47">
        <f t="shared" si="37"/>
        <v>7.2703945258205671E-3</v>
      </c>
      <c r="E1119" s="81"/>
      <c r="F1119" s="82"/>
      <c r="G1119" s="81">
        <v>44370</v>
      </c>
      <c r="H1119" s="82">
        <v>330.54</v>
      </c>
      <c r="I1119" s="166">
        <f t="shared" si="36"/>
        <v>2.1951521147662634E-2</v>
      </c>
    </row>
    <row r="1120" spans="1:9" ht="18">
      <c r="A1120" s="237">
        <v>44432</v>
      </c>
      <c r="B1120" s="238">
        <v>93.84</v>
      </c>
      <c r="C1120" s="47">
        <f t="shared" si="37"/>
        <v>-3.9273962424369868E-3</v>
      </c>
      <c r="E1120" s="81"/>
      <c r="F1120" s="82"/>
      <c r="G1120" s="81">
        <v>44371</v>
      </c>
      <c r="H1120" s="82">
        <v>333.11</v>
      </c>
      <c r="I1120" s="166">
        <f t="shared" si="36"/>
        <v>7.775155805651357E-3</v>
      </c>
    </row>
    <row r="1121" spans="1:9" ht="18">
      <c r="A1121" s="237">
        <v>44433</v>
      </c>
      <c r="B1121" s="238">
        <v>93.82</v>
      </c>
      <c r="C1121" s="47">
        <f t="shared" si="37"/>
        <v>-2.1312872975287611E-4</v>
      </c>
      <c r="E1121" s="81"/>
      <c r="F1121" s="82"/>
      <c r="G1121" s="81">
        <v>44372</v>
      </c>
      <c r="H1121" s="82">
        <v>335.25</v>
      </c>
      <c r="I1121" s="166">
        <f t="shared" si="36"/>
        <v>6.4243042838700859E-3</v>
      </c>
    </row>
    <row r="1122" spans="1:9" ht="18">
      <c r="A1122" s="237">
        <v>44434</v>
      </c>
      <c r="B1122" s="238">
        <v>93.71</v>
      </c>
      <c r="C1122" s="47">
        <f t="shared" si="37"/>
        <v>-1.1724578981027189E-3</v>
      </c>
      <c r="E1122" s="81"/>
      <c r="F1122" s="82"/>
      <c r="G1122" s="81">
        <v>44373</v>
      </c>
      <c r="H1122" s="82">
        <v>336.18</v>
      </c>
      <c r="I1122" s="166">
        <f t="shared" si="36"/>
        <v>2.7740492170023057E-3</v>
      </c>
    </row>
    <row r="1123" spans="1:9" ht="18">
      <c r="A1123" s="237">
        <v>44435</v>
      </c>
      <c r="B1123" s="238">
        <v>94.26</v>
      </c>
      <c r="C1123" s="47">
        <f t="shared" si="37"/>
        <v>5.8691708462279557E-3</v>
      </c>
      <c r="E1123" s="81"/>
      <c r="F1123" s="82"/>
      <c r="G1123" s="81">
        <v>44376</v>
      </c>
      <c r="H1123" s="82">
        <v>334.75</v>
      </c>
      <c r="I1123" s="166">
        <f t="shared" si="36"/>
        <v>-4.2536736272235087E-3</v>
      </c>
    </row>
    <row r="1124" spans="1:9" ht="18">
      <c r="A1124" s="237">
        <v>44436</v>
      </c>
      <c r="B1124" s="238">
        <v>94.12</v>
      </c>
      <c r="C1124" s="47">
        <f t="shared" si="37"/>
        <v>-1.4852535539995326E-3</v>
      </c>
      <c r="E1124" s="81"/>
      <c r="F1124" s="82"/>
      <c r="G1124" s="81">
        <v>44377</v>
      </c>
      <c r="H1124" s="82">
        <v>336.52</v>
      </c>
      <c r="I1124" s="166">
        <f t="shared" si="36"/>
        <v>5.28752800597454E-3</v>
      </c>
    </row>
    <row r="1125" spans="1:9" ht="18">
      <c r="A1125" s="237">
        <v>44440</v>
      </c>
      <c r="B1125" s="238">
        <v>93.36</v>
      </c>
      <c r="C1125" s="47">
        <f t="shared" si="37"/>
        <v>-8.0747981300468563E-3</v>
      </c>
      <c r="E1125" s="81"/>
      <c r="F1125" s="82"/>
      <c r="G1125" s="81">
        <v>44378</v>
      </c>
      <c r="H1125" s="82">
        <v>336.99</v>
      </c>
      <c r="I1125" s="166">
        <f t="shared" si="36"/>
        <v>1.3966480446927498E-3</v>
      </c>
    </row>
    <row r="1126" spans="1:9" ht="18">
      <c r="A1126" s="237">
        <v>44441</v>
      </c>
      <c r="B1126" s="238">
        <v>93.76</v>
      </c>
      <c r="C1126" s="47">
        <f t="shared" si="37"/>
        <v>4.2844901456726703E-3</v>
      </c>
      <c r="E1126" s="81"/>
      <c r="F1126" s="82"/>
      <c r="G1126" s="81">
        <v>44379</v>
      </c>
      <c r="H1126" s="82">
        <v>338.7</v>
      </c>
      <c r="I1126" s="166">
        <f t="shared" si="36"/>
        <v>5.0743345499866255E-3</v>
      </c>
    </row>
    <row r="1127" spans="1:9" ht="18">
      <c r="A1127" s="237">
        <v>44442</v>
      </c>
      <c r="B1127" s="238">
        <v>94.13</v>
      </c>
      <c r="C1127" s="47">
        <f t="shared" si="37"/>
        <v>3.9462457337882118E-3</v>
      </c>
      <c r="E1127" s="81"/>
      <c r="F1127" s="82"/>
      <c r="G1127" s="81">
        <v>44380</v>
      </c>
      <c r="H1127" s="82">
        <v>337.89</v>
      </c>
      <c r="I1127" s="166">
        <f t="shared" si="36"/>
        <v>-2.3914968999114716E-3</v>
      </c>
    </row>
    <row r="1128" spans="1:9" ht="18">
      <c r="A1128" s="237">
        <v>44443</v>
      </c>
      <c r="B1128" s="238">
        <v>94.76</v>
      </c>
      <c r="C1128" s="47">
        <f t="shared" si="37"/>
        <v>6.6928715606078271E-3</v>
      </c>
      <c r="E1128" s="81"/>
      <c r="F1128" s="82"/>
      <c r="G1128" s="81">
        <v>44383</v>
      </c>
      <c r="H1128" s="82">
        <v>336.26</v>
      </c>
      <c r="I1128" s="166">
        <f t="shared" si="36"/>
        <v>-4.8240551658823572E-3</v>
      </c>
    </row>
    <row r="1129" spans="1:9" ht="18">
      <c r="A1129" s="237">
        <v>44446</v>
      </c>
      <c r="B1129" s="238">
        <v>94.75</v>
      </c>
      <c r="C1129" s="47">
        <f t="shared" si="37"/>
        <v>-1.0552975939215337E-4</v>
      </c>
      <c r="E1129" s="81"/>
      <c r="F1129" s="82"/>
      <c r="G1129" s="81">
        <v>44384</v>
      </c>
      <c r="H1129" s="82">
        <v>337.13</v>
      </c>
      <c r="I1129" s="166">
        <f t="shared" si="36"/>
        <v>2.5872836495568485E-3</v>
      </c>
    </row>
    <row r="1130" spans="1:9" ht="18">
      <c r="A1130" s="237">
        <v>44447</v>
      </c>
      <c r="B1130" s="238">
        <v>94.66</v>
      </c>
      <c r="C1130" s="47">
        <f t="shared" si="37"/>
        <v>-9.498680738786458E-4</v>
      </c>
      <c r="E1130" s="81"/>
      <c r="F1130" s="82"/>
      <c r="G1130" s="81">
        <v>44385</v>
      </c>
      <c r="H1130" s="82">
        <v>336.61</v>
      </c>
      <c r="I1130" s="166">
        <f t="shared" si="36"/>
        <v>-1.5424317029039125E-3</v>
      </c>
    </row>
    <row r="1131" spans="1:9" ht="18">
      <c r="A1131" s="237">
        <v>44448</v>
      </c>
      <c r="B1131" s="238">
        <v>95.18</v>
      </c>
      <c r="C1131" s="47">
        <f t="shared" si="37"/>
        <v>5.4933446017326748E-3</v>
      </c>
      <c r="E1131" s="81"/>
      <c r="F1131" s="82"/>
      <c r="G1131" s="81">
        <v>44386</v>
      </c>
      <c r="H1131" s="82">
        <v>336.96</v>
      </c>
      <c r="I1131" s="166">
        <f t="shared" si="36"/>
        <v>1.0397789726983575E-3</v>
      </c>
    </row>
    <row r="1132" spans="1:9" ht="18">
      <c r="A1132" s="237">
        <v>44449</v>
      </c>
      <c r="B1132" s="238">
        <v>95.53</v>
      </c>
      <c r="C1132" s="47">
        <f t="shared" si="37"/>
        <v>3.6772431183020871E-3</v>
      </c>
      <c r="E1132" s="81"/>
      <c r="F1132" s="82"/>
      <c r="G1132" s="81">
        <v>44387</v>
      </c>
      <c r="H1132" s="82">
        <v>336.57</v>
      </c>
      <c r="I1132" s="166">
        <f t="shared" si="36"/>
        <v>-1.1574074074073293E-3</v>
      </c>
    </row>
    <row r="1133" spans="1:9" ht="18">
      <c r="A1133" s="237">
        <v>44450</v>
      </c>
      <c r="B1133" s="238">
        <v>95.25</v>
      </c>
      <c r="C1133" s="47">
        <f t="shared" si="37"/>
        <v>-2.9310164346278977E-3</v>
      </c>
      <c r="E1133" s="81"/>
      <c r="F1133" s="82"/>
      <c r="G1133" s="81">
        <v>44390</v>
      </c>
      <c r="H1133" s="82">
        <v>336.32</v>
      </c>
      <c r="I1133" s="166">
        <f t="shared" si="36"/>
        <v>-7.4278753305401235E-4</v>
      </c>
    </row>
    <row r="1134" spans="1:9" ht="18">
      <c r="A1134" s="237">
        <v>44453</v>
      </c>
      <c r="B1134" s="238">
        <v>95.59</v>
      </c>
      <c r="C1134" s="47">
        <f t="shared" si="37"/>
        <v>3.5695538057742837E-3</v>
      </c>
      <c r="E1134" s="81"/>
      <c r="F1134" s="82"/>
      <c r="G1134" s="81">
        <v>44391</v>
      </c>
      <c r="H1134" s="82">
        <v>339.19</v>
      </c>
      <c r="I1134" s="166">
        <f t="shared" si="36"/>
        <v>8.5335394862036118E-3</v>
      </c>
    </row>
    <row r="1135" spans="1:9" ht="18">
      <c r="A1135" s="237">
        <v>44454</v>
      </c>
      <c r="B1135" s="238">
        <v>95.53</v>
      </c>
      <c r="C1135" s="47">
        <f t="shared" si="37"/>
        <v>-6.2768071974061979E-4</v>
      </c>
      <c r="E1135" s="81"/>
      <c r="F1135" s="82"/>
      <c r="G1135" s="81">
        <v>44392</v>
      </c>
      <c r="H1135" s="82">
        <v>339.25</v>
      </c>
      <c r="I1135" s="166">
        <f t="shared" si="36"/>
        <v>1.7689200742943001E-4</v>
      </c>
    </row>
    <row r="1136" spans="1:9" ht="18">
      <c r="A1136" s="237">
        <v>44455</v>
      </c>
      <c r="B1136" s="238">
        <v>95.48</v>
      </c>
      <c r="C1136" s="47">
        <f t="shared" si="37"/>
        <v>-5.2339579189775165E-4</v>
      </c>
      <c r="E1136" s="81"/>
      <c r="F1136" s="82"/>
      <c r="G1136" s="81">
        <v>44393</v>
      </c>
      <c r="H1136" s="82">
        <v>340.28</v>
      </c>
      <c r="I1136" s="166">
        <f t="shared" si="36"/>
        <v>3.0361090641120025E-3</v>
      </c>
    </row>
    <row r="1137" spans="1:9" ht="18">
      <c r="A1137" s="237">
        <v>44456</v>
      </c>
      <c r="B1137" s="238">
        <v>95.08</v>
      </c>
      <c r="C1137" s="47">
        <f t="shared" si="37"/>
        <v>-4.1893590280687176E-3</v>
      </c>
      <c r="E1137" s="81"/>
      <c r="F1137" s="82"/>
      <c r="G1137" s="81">
        <v>44394</v>
      </c>
      <c r="H1137" s="82">
        <v>342.4</v>
      </c>
      <c r="I1137" s="166">
        <f t="shared" si="36"/>
        <v>6.2301633948513846E-3</v>
      </c>
    </row>
    <row r="1138" spans="1:9" ht="18">
      <c r="A1138" s="237">
        <v>44457</v>
      </c>
      <c r="B1138" s="238">
        <v>94.98</v>
      </c>
      <c r="C1138" s="47">
        <f t="shared" si="37"/>
        <v>-1.0517458981909034E-3</v>
      </c>
      <c r="E1138" s="81"/>
      <c r="F1138" s="82"/>
      <c r="G1138" s="81">
        <v>44397</v>
      </c>
      <c r="H1138" s="82">
        <v>343.12</v>
      </c>
      <c r="I1138" s="166">
        <f t="shared" si="36"/>
        <v>2.1028037383177267E-3</v>
      </c>
    </row>
    <row r="1139" spans="1:9" ht="18">
      <c r="A1139" s="237">
        <v>44460</v>
      </c>
      <c r="B1139" s="238">
        <v>95.19</v>
      </c>
      <c r="C1139" s="47">
        <f t="shared" si="37"/>
        <v>2.2109917877446428E-3</v>
      </c>
      <c r="E1139" s="81"/>
      <c r="F1139" s="82"/>
      <c r="G1139" s="81">
        <v>44398</v>
      </c>
      <c r="H1139" s="82">
        <v>341.96</v>
      </c>
      <c r="I1139" s="166">
        <f t="shared" si="36"/>
        <v>-3.3807414315691897E-3</v>
      </c>
    </row>
    <row r="1140" spans="1:9" ht="18">
      <c r="A1140" s="237">
        <v>44461</v>
      </c>
      <c r="B1140" s="238">
        <v>95.56</v>
      </c>
      <c r="C1140" s="47">
        <f t="shared" si="37"/>
        <v>3.8869629162727737E-3</v>
      </c>
      <c r="E1140" s="81"/>
      <c r="F1140" s="82"/>
      <c r="G1140" s="81">
        <v>44399</v>
      </c>
      <c r="H1140" s="82">
        <v>346.19</v>
      </c>
      <c r="I1140" s="166">
        <f t="shared" si="36"/>
        <v>1.2369867820797742E-2</v>
      </c>
    </row>
    <row r="1141" spans="1:9" ht="18">
      <c r="A1141" s="237">
        <v>44462</v>
      </c>
      <c r="B1141" s="238">
        <v>95.5</v>
      </c>
      <c r="C1141" s="47">
        <f t="shared" si="37"/>
        <v>-6.2787777312689474E-4</v>
      </c>
      <c r="E1141" s="81"/>
      <c r="F1141" s="82"/>
      <c r="G1141" s="81">
        <v>44400</v>
      </c>
      <c r="H1141" s="82">
        <v>346.65</v>
      </c>
      <c r="I1141" s="166">
        <f t="shared" si="36"/>
        <v>1.3287501083218967E-3</v>
      </c>
    </row>
    <row r="1142" spans="1:9" ht="18">
      <c r="A1142" s="237">
        <v>44463</v>
      </c>
      <c r="B1142" s="238">
        <v>95.26</v>
      </c>
      <c r="C1142" s="47">
        <f t="shared" si="37"/>
        <v>-2.5130890052355026E-3</v>
      </c>
      <c r="E1142" s="81"/>
      <c r="F1142" s="82"/>
      <c r="G1142" s="81">
        <v>44401</v>
      </c>
      <c r="H1142" s="82">
        <v>343.93</v>
      </c>
      <c r="I1142" s="166">
        <f t="shared" si="36"/>
        <v>-7.8465310832250834E-3</v>
      </c>
    </row>
    <row r="1143" spans="1:9" ht="18">
      <c r="A1143" s="237">
        <v>44464</v>
      </c>
      <c r="B1143" s="238">
        <v>95.23</v>
      </c>
      <c r="C1143" s="47">
        <f t="shared" si="37"/>
        <v>-3.1492756665962851E-4</v>
      </c>
      <c r="E1143" s="81"/>
      <c r="F1143" s="82"/>
      <c r="G1143" s="81">
        <v>44404</v>
      </c>
      <c r="H1143" s="82">
        <v>342.88</v>
      </c>
      <c r="I1143" s="166">
        <f t="shared" si="36"/>
        <v>-3.0529468205739985E-3</v>
      </c>
    </row>
    <row r="1144" spans="1:9" ht="18">
      <c r="A1144" s="237">
        <v>44467</v>
      </c>
      <c r="B1144" s="238">
        <v>95.39</v>
      </c>
      <c r="C1144" s="47">
        <f t="shared" si="37"/>
        <v>1.6801428121389073E-3</v>
      </c>
      <c r="E1144" s="81"/>
      <c r="F1144" s="82"/>
      <c r="G1144" s="81">
        <v>44405</v>
      </c>
      <c r="H1144" s="82">
        <v>342.29</v>
      </c>
      <c r="I1144" s="166">
        <f t="shared" si="36"/>
        <v>-1.7207186187586654E-3</v>
      </c>
    </row>
    <row r="1145" spans="1:9" ht="18">
      <c r="A1145" s="237">
        <v>44468</v>
      </c>
      <c r="B1145" s="238">
        <v>95.19</v>
      </c>
      <c r="C1145" s="47">
        <f t="shared" si="37"/>
        <v>-2.0966558339449159E-3</v>
      </c>
      <c r="E1145" s="81"/>
      <c r="F1145" s="82"/>
      <c r="G1145" s="81">
        <v>44406</v>
      </c>
      <c r="H1145" s="82">
        <v>341.55</v>
      </c>
      <c r="I1145" s="166">
        <f t="shared" si="36"/>
        <v>-2.1619094919512749E-3</v>
      </c>
    </row>
    <row r="1146" spans="1:9" ht="18">
      <c r="A1146" s="237">
        <v>44469</v>
      </c>
      <c r="B1146" s="238">
        <v>95.12</v>
      </c>
      <c r="C1146" s="47">
        <f t="shared" si="37"/>
        <v>-7.353713625379843E-4</v>
      </c>
      <c r="E1146" s="81"/>
      <c r="F1146" s="82"/>
      <c r="G1146" s="81">
        <v>44407</v>
      </c>
      <c r="H1146" s="82">
        <v>338.87</v>
      </c>
      <c r="I1146" s="166">
        <f t="shared" si="36"/>
        <v>-7.8465817596252707E-3</v>
      </c>
    </row>
    <row r="1147" spans="1:9" ht="18">
      <c r="A1147" s="237">
        <v>44470</v>
      </c>
      <c r="B1147" s="238">
        <v>95.17</v>
      </c>
      <c r="C1147" s="47">
        <f t="shared" si="37"/>
        <v>5.2565180824215574E-4</v>
      </c>
      <c r="E1147" s="81"/>
      <c r="F1147" s="82"/>
      <c r="G1147" s="81">
        <v>44408</v>
      </c>
      <c r="H1147" s="82">
        <v>335.99</v>
      </c>
      <c r="I1147" s="166">
        <f t="shared" si="36"/>
        <v>-8.4988343612594219E-3</v>
      </c>
    </row>
    <row r="1148" spans="1:9" ht="18">
      <c r="A1148" s="237">
        <v>44471</v>
      </c>
      <c r="B1148" s="238">
        <v>95.21</v>
      </c>
      <c r="C1148" s="47">
        <f t="shared" si="37"/>
        <v>4.2030051486796616E-4</v>
      </c>
      <c r="E1148" s="81"/>
      <c r="F1148" s="82"/>
      <c r="G1148" s="81">
        <v>44411</v>
      </c>
      <c r="H1148" s="82">
        <v>338.36</v>
      </c>
      <c r="I1148" s="166">
        <f t="shared" si="36"/>
        <v>7.0537813625406454E-3</v>
      </c>
    </row>
    <row r="1149" spans="1:9" ht="18">
      <c r="A1149" s="237">
        <v>44474</v>
      </c>
      <c r="B1149" s="238">
        <v>95.09</v>
      </c>
      <c r="C1149" s="47">
        <f t="shared" si="37"/>
        <v>-1.2603718096837468E-3</v>
      </c>
      <c r="E1149" s="81"/>
      <c r="F1149" s="82"/>
      <c r="G1149" s="81">
        <v>44412</v>
      </c>
      <c r="H1149" s="82">
        <v>340.49</v>
      </c>
      <c r="I1149" s="166">
        <f t="shared" si="36"/>
        <v>6.2950703392836704E-3</v>
      </c>
    </row>
    <row r="1150" spans="1:9" ht="18">
      <c r="A1150" s="237">
        <v>44475</v>
      </c>
      <c r="B1150" s="238">
        <v>95.05</v>
      </c>
      <c r="C1150" s="47">
        <f t="shared" si="37"/>
        <v>-4.2065411715219714E-4</v>
      </c>
      <c r="E1150" s="81"/>
      <c r="F1150" s="82"/>
      <c r="G1150" s="81">
        <v>44413</v>
      </c>
      <c r="H1150" s="82">
        <v>340.28</v>
      </c>
      <c r="I1150" s="166">
        <f t="shared" si="36"/>
        <v>-6.1675820141571247E-4</v>
      </c>
    </row>
    <row r="1151" spans="1:9" ht="18">
      <c r="A1151" s="237">
        <v>44476</v>
      </c>
      <c r="B1151" s="238">
        <v>95.1</v>
      </c>
      <c r="C1151" s="47">
        <f t="shared" si="37"/>
        <v>5.2603892688063425E-4</v>
      </c>
      <c r="E1151" s="81"/>
      <c r="F1151" s="82"/>
      <c r="G1151" s="81">
        <v>44414</v>
      </c>
      <c r="H1151" s="82">
        <v>343.87</v>
      </c>
      <c r="I1151" s="166">
        <f t="shared" si="36"/>
        <v>1.0550135182790799E-2</v>
      </c>
    </row>
    <row r="1152" spans="1:9" ht="18">
      <c r="A1152" s="237">
        <v>44477</v>
      </c>
      <c r="B1152" s="238">
        <v>95.05</v>
      </c>
      <c r="C1152" s="47">
        <f t="shared" si="37"/>
        <v>-5.2576235541534899E-4</v>
      </c>
      <c r="E1152" s="81"/>
      <c r="F1152" s="82"/>
      <c r="G1152" s="81">
        <v>44415</v>
      </c>
      <c r="H1152" s="82">
        <v>342.46</v>
      </c>
      <c r="I1152" s="166">
        <f t="shared" si="36"/>
        <v>-4.1003867740716515E-3</v>
      </c>
    </row>
    <row r="1153" spans="1:9" ht="18">
      <c r="A1153" s="237">
        <v>44478</v>
      </c>
      <c r="B1153" s="238">
        <v>94.63</v>
      </c>
      <c r="C1153" s="47">
        <f t="shared" si="37"/>
        <v>-4.418726985796928E-3</v>
      </c>
      <c r="E1153" s="81"/>
      <c r="F1153" s="82"/>
      <c r="G1153" s="81">
        <v>44418</v>
      </c>
      <c r="H1153" s="82">
        <v>343.1</v>
      </c>
      <c r="I1153" s="166">
        <f t="shared" si="36"/>
        <v>1.8688313963675096E-3</v>
      </c>
    </row>
    <row r="1154" spans="1:9" ht="18">
      <c r="A1154" s="237">
        <v>44481</v>
      </c>
      <c r="B1154" s="238">
        <v>95.28</v>
      </c>
      <c r="C1154" s="47">
        <f t="shared" si="37"/>
        <v>6.8688576561344306E-3</v>
      </c>
      <c r="E1154" s="81"/>
      <c r="F1154" s="82"/>
      <c r="G1154" s="81">
        <v>44419</v>
      </c>
      <c r="H1154" s="82">
        <v>343.84</v>
      </c>
      <c r="I1154" s="166">
        <f t="shared" si="36"/>
        <v>2.1568055960359267E-3</v>
      </c>
    </row>
    <row r="1155" spans="1:9" ht="18">
      <c r="A1155" s="237">
        <v>44482</v>
      </c>
      <c r="B1155" s="238">
        <v>95.24</v>
      </c>
      <c r="C1155" s="47">
        <f t="shared" si="37"/>
        <v>-4.1981528127632561E-4</v>
      </c>
      <c r="E1155" s="81"/>
      <c r="F1155" s="82"/>
      <c r="G1155" s="81">
        <v>44420</v>
      </c>
      <c r="H1155" s="82">
        <v>348.48</v>
      </c>
      <c r="I1155" s="166">
        <f t="shared" si="36"/>
        <v>1.3494648673801901E-2</v>
      </c>
    </row>
    <row r="1156" spans="1:9" ht="18">
      <c r="A1156" s="237">
        <v>44483</v>
      </c>
      <c r="B1156" s="238">
        <v>95.57</v>
      </c>
      <c r="C1156" s="47">
        <f t="shared" si="37"/>
        <v>3.464930701385871E-3</v>
      </c>
      <c r="E1156" s="81"/>
      <c r="F1156" s="82"/>
      <c r="G1156" s="81">
        <v>44421</v>
      </c>
      <c r="H1156" s="82">
        <v>347.2</v>
      </c>
      <c r="I1156" s="166">
        <f t="shared" si="36"/>
        <v>-3.6730945821855654E-3</v>
      </c>
    </row>
    <row r="1157" spans="1:9" ht="18">
      <c r="A1157" s="237">
        <v>44484</v>
      </c>
      <c r="B1157" s="238">
        <v>95.71</v>
      </c>
      <c r="C1157" s="47">
        <f t="shared" si="37"/>
        <v>1.4648948414774932E-3</v>
      </c>
      <c r="E1157" s="81"/>
      <c r="F1157" s="82"/>
      <c r="G1157" s="81">
        <v>44422</v>
      </c>
      <c r="H1157" s="82">
        <v>347.79</v>
      </c>
      <c r="I1157" s="166">
        <f t="shared" si="36"/>
        <v>1.6993087557604092E-3</v>
      </c>
    </row>
    <row r="1158" spans="1:9" ht="18">
      <c r="A1158" s="237">
        <v>44485</v>
      </c>
      <c r="B1158" s="238">
        <v>95.74</v>
      </c>
      <c r="C1158" s="47">
        <f t="shared" si="37"/>
        <v>3.1344687075551825E-4</v>
      </c>
      <c r="E1158" s="81"/>
      <c r="F1158" s="82"/>
      <c r="G1158" s="81">
        <v>44425</v>
      </c>
      <c r="H1158" s="82">
        <v>349.38</v>
      </c>
      <c r="I1158" s="166">
        <f t="shared" si="36"/>
        <v>4.5717243163978516E-3</v>
      </c>
    </row>
    <row r="1159" spans="1:9" ht="18">
      <c r="A1159" s="237">
        <v>44488</v>
      </c>
      <c r="B1159" s="238">
        <v>96.16</v>
      </c>
      <c r="C1159" s="47">
        <f t="shared" si="37"/>
        <v>4.3868811364111693E-3</v>
      </c>
      <c r="E1159" s="81"/>
      <c r="F1159" s="82"/>
      <c r="G1159" s="81">
        <v>44426</v>
      </c>
      <c r="H1159" s="82">
        <v>349.18</v>
      </c>
      <c r="I1159" s="166">
        <f t="shared" si="36"/>
        <v>-5.7244261262801022E-4</v>
      </c>
    </row>
    <row r="1160" spans="1:9" ht="18">
      <c r="A1160" s="237">
        <v>44489</v>
      </c>
      <c r="B1160" s="238">
        <v>96.28</v>
      </c>
      <c r="C1160" s="47">
        <f t="shared" si="37"/>
        <v>1.2479201331114798E-3</v>
      </c>
      <c r="E1160" s="81"/>
      <c r="F1160" s="82"/>
      <c r="G1160" s="81">
        <v>44427</v>
      </c>
      <c r="H1160" s="82">
        <v>346.7</v>
      </c>
      <c r="I1160" s="166">
        <f t="shared" si="36"/>
        <v>-7.102354086717555E-3</v>
      </c>
    </row>
    <row r="1161" spans="1:9" ht="18">
      <c r="A1161" s="237">
        <v>44490</v>
      </c>
      <c r="B1161" s="238">
        <v>96.08</v>
      </c>
      <c r="C1161" s="47">
        <f t="shared" si="37"/>
        <v>-2.0772746157041722E-3</v>
      </c>
      <c r="E1161" s="81"/>
      <c r="F1161" s="82"/>
      <c r="G1161" s="81">
        <v>44428</v>
      </c>
      <c r="H1161" s="82">
        <v>347.3</v>
      </c>
      <c r="I1161" s="166">
        <f t="shared" si="36"/>
        <v>1.730602826651273E-3</v>
      </c>
    </row>
    <row r="1162" spans="1:9" ht="18">
      <c r="A1162" s="237">
        <v>44491</v>
      </c>
      <c r="B1162" s="238">
        <v>96.01</v>
      </c>
      <c r="C1162" s="47">
        <f t="shared" si="37"/>
        <v>-7.28559533721862E-4</v>
      </c>
      <c r="E1162" s="81"/>
      <c r="F1162" s="82"/>
      <c r="G1162" s="81">
        <v>44429</v>
      </c>
      <c r="H1162" s="82">
        <v>348.26</v>
      </c>
      <c r="I1162" s="166">
        <f t="shared" si="36"/>
        <v>2.764180823495499E-3</v>
      </c>
    </row>
    <row r="1163" spans="1:9" ht="18">
      <c r="A1163" s="237">
        <v>44492</v>
      </c>
      <c r="B1163" s="238">
        <v>96.29</v>
      </c>
      <c r="C1163" s="47">
        <f t="shared" si="37"/>
        <v>2.9163628788668738E-3</v>
      </c>
      <c r="E1163" s="81"/>
      <c r="F1163" s="82"/>
      <c r="G1163" s="81">
        <v>44432</v>
      </c>
      <c r="H1163" s="82">
        <v>352.98</v>
      </c>
      <c r="I1163" s="166">
        <f t="shared" si="36"/>
        <v>1.355309251708503E-2</v>
      </c>
    </row>
    <row r="1164" spans="1:9" ht="18">
      <c r="A1164" s="237">
        <v>44495</v>
      </c>
      <c r="B1164" s="238">
        <v>97.03</v>
      </c>
      <c r="C1164" s="47">
        <f t="shared" si="37"/>
        <v>7.6851178730916736E-3</v>
      </c>
      <c r="E1164" s="81"/>
      <c r="F1164" s="82"/>
      <c r="G1164" s="81">
        <v>44433</v>
      </c>
      <c r="H1164" s="82">
        <v>350.5</v>
      </c>
      <c r="I1164" s="166">
        <f t="shared" si="36"/>
        <v>-7.025893818346729E-3</v>
      </c>
    </row>
    <row r="1165" spans="1:9" ht="18">
      <c r="A1165" s="237">
        <v>44496</v>
      </c>
      <c r="B1165" s="238">
        <v>97.03</v>
      </c>
      <c r="C1165" s="47">
        <f t="shared" si="37"/>
        <v>0</v>
      </c>
      <c r="E1165" s="81"/>
      <c r="F1165" s="82"/>
      <c r="G1165" s="81">
        <v>44434</v>
      </c>
      <c r="H1165" s="82">
        <v>348.94</v>
      </c>
      <c r="I1165" s="166">
        <f t="shared" si="36"/>
        <v>-4.4507845934379509E-3</v>
      </c>
    </row>
    <row r="1166" spans="1:9" ht="18">
      <c r="A1166" s="237">
        <v>44497</v>
      </c>
      <c r="B1166" s="238">
        <v>96.6</v>
      </c>
      <c r="C1166" s="47">
        <f t="shared" si="37"/>
        <v>-4.4316190868803895E-3</v>
      </c>
      <c r="E1166" s="81"/>
      <c r="F1166" s="82"/>
      <c r="G1166" s="81">
        <v>44435</v>
      </c>
      <c r="H1166" s="82">
        <v>347.04</v>
      </c>
      <c r="I1166" s="166">
        <f t="shared" si="36"/>
        <v>-5.4450621883417316E-3</v>
      </c>
    </row>
    <row r="1167" spans="1:9" ht="18">
      <c r="A1167" s="237">
        <v>44498</v>
      </c>
      <c r="B1167" s="238">
        <v>96.49</v>
      </c>
      <c r="C1167" s="47">
        <f t="shared" si="37"/>
        <v>-1.1387163561076274E-3</v>
      </c>
      <c r="E1167" s="81"/>
      <c r="F1167" s="82"/>
      <c r="G1167" s="81">
        <v>44436</v>
      </c>
      <c r="H1167" s="82">
        <v>346.49</v>
      </c>
      <c r="I1167" s="166">
        <f t="shared" ref="I1167:I1230" si="38">H1167/H1166-1</f>
        <v>-1.5848317196864858E-3</v>
      </c>
    </row>
    <row r="1168" spans="1:9" ht="18">
      <c r="A1168" s="237">
        <v>44499</v>
      </c>
      <c r="B1168" s="238">
        <v>96.67</v>
      </c>
      <c r="C1168" s="47">
        <f t="shared" si="37"/>
        <v>1.8654782879055087E-3</v>
      </c>
      <c r="E1168" s="81"/>
      <c r="F1168" s="82"/>
      <c r="G1168" s="81">
        <v>44439</v>
      </c>
      <c r="H1168" s="82">
        <v>348.88</v>
      </c>
      <c r="I1168" s="166">
        <f t="shared" si="38"/>
        <v>6.8977459666945684E-3</v>
      </c>
    </row>
    <row r="1169" spans="1:9" ht="18">
      <c r="A1169" s="237">
        <v>44502</v>
      </c>
      <c r="B1169" s="238">
        <v>95.97</v>
      </c>
      <c r="C1169" s="47">
        <f t="shared" si="37"/>
        <v>-7.2411296162201433E-3</v>
      </c>
      <c r="E1169" s="81"/>
      <c r="F1169" s="82"/>
      <c r="G1169" s="81">
        <v>44440</v>
      </c>
      <c r="H1169" s="82">
        <v>347.55</v>
      </c>
      <c r="I1169" s="166">
        <f t="shared" si="38"/>
        <v>-3.8121990369180958E-3</v>
      </c>
    </row>
    <row r="1170" spans="1:9" ht="18">
      <c r="A1170" s="237">
        <v>44503</v>
      </c>
      <c r="B1170" s="238">
        <v>95.86</v>
      </c>
      <c r="C1170" s="47">
        <f t="shared" si="37"/>
        <v>-1.1461915181827376E-3</v>
      </c>
      <c r="E1170" s="81"/>
      <c r="F1170" s="82"/>
      <c r="G1170" s="81">
        <v>44441</v>
      </c>
      <c r="H1170" s="82">
        <v>347.88</v>
      </c>
      <c r="I1170" s="166">
        <f t="shared" si="38"/>
        <v>9.4950366853696622E-4</v>
      </c>
    </row>
    <row r="1171" spans="1:9" ht="18">
      <c r="A1171" s="237">
        <v>44504</v>
      </c>
      <c r="B1171" s="238">
        <v>95.65</v>
      </c>
      <c r="C1171" s="47">
        <f t="shared" si="37"/>
        <v>-2.1906947631962215E-3</v>
      </c>
      <c r="E1171" s="81"/>
      <c r="F1171" s="82"/>
      <c r="G1171" s="81">
        <v>44442</v>
      </c>
      <c r="H1171" s="82">
        <v>346.05</v>
      </c>
      <c r="I1171" s="166">
        <f t="shared" si="38"/>
        <v>-5.2604346326319273E-3</v>
      </c>
    </row>
    <row r="1172" spans="1:9" ht="18">
      <c r="A1172" s="237">
        <v>44505</v>
      </c>
      <c r="B1172" s="238">
        <v>95.97</v>
      </c>
      <c r="C1172" s="47">
        <f t="shared" si="37"/>
        <v>3.3455305802403412E-3</v>
      </c>
      <c r="E1172" s="81"/>
      <c r="F1172" s="82"/>
      <c r="G1172" s="81">
        <v>44443</v>
      </c>
      <c r="H1172" s="82">
        <v>350.41</v>
      </c>
      <c r="I1172" s="166">
        <f t="shared" si="38"/>
        <v>1.2599335356162422E-2</v>
      </c>
    </row>
    <row r="1173" spans="1:9" ht="18">
      <c r="A1173" s="237">
        <v>44506</v>
      </c>
      <c r="B1173" s="238">
        <v>96.02</v>
      </c>
      <c r="C1173" s="47">
        <f t="shared" si="37"/>
        <v>5.2099614462841615E-4</v>
      </c>
      <c r="E1173" s="81"/>
      <c r="F1173" s="82"/>
      <c r="G1173" s="81">
        <v>44446</v>
      </c>
      <c r="H1173" s="82">
        <v>352.03</v>
      </c>
      <c r="I1173" s="166">
        <f t="shared" si="38"/>
        <v>4.6231557318567873E-3</v>
      </c>
    </row>
    <row r="1174" spans="1:9" ht="18">
      <c r="A1174" s="237">
        <v>44509</v>
      </c>
      <c r="B1174" s="238">
        <v>96.24</v>
      </c>
      <c r="C1174" s="47">
        <f t="shared" si="37"/>
        <v>2.291189335555055E-3</v>
      </c>
      <c r="E1174" s="81"/>
      <c r="F1174" s="82"/>
      <c r="G1174" s="81">
        <v>44447</v>
      </c>
      <c r="H1174" s="82">
        <v>354.69</v>
      </c>
      <c r="I1174" s="166">
        <f t="shared" si="38"/>
        <v>7.5561741896998935E-3</v>
      </c>
    </row>
    <row r="1175" spans="1:9" ht="18">
      <c r="A1175" s="237">
        <v>44510</v>
      </c>
      <c r="B1175" s="238">
        <v>96.46</v>
      </c>
      <c r="C1175" s="47">
        <f t="shared" ref="C1175:C1238" si="39">B1175/B1174-1</f>
        <v>2.2859517871987034E-3</v>
      </c>
      <c r="E1175" s="81"/>
      <c r="F1175" s="82"/>
      <c r="G1175" s="81">
        <v>44448</v>
      </c>
      <c r="H1175" s="82">
        <v>357.03</v>
      </c>
      <c r="I1175" s="166">
        <f t="shared" si="38"/>
        <v>6.5973103273280209E-3</v>
      </c>
    </row>
    <row r="1176" spans="1:9" ht="18">
      <c r="A1176" s="237">
        <v>44511</v>
      </c>
      <c r="B1176" s="238">
        <v>96.5</v>
      </c>
      <c r="C1176" s="47">
        <f t="shared" si="39"/>
        <v>4.1467965996266898E-4</v>
      </c>
      <c r="E1176" s="81"/>
      <c r="F1176" s="82"/>
      <c r="G1176" s="81">
        <v>44449</v>
      </c>
      <c r="H1176" s="82">
        <v>357.66</v>
      </c>
      <c r="I1176" s="166">
        <f t="shared" si="38"/>
        <v>1.7645576002018881E-3</v>
      </c>
    </row>
    <row r="1177" spans="1:9" ht="18">
      <c r="A1177" s="237">
        <v>44512</v>
      </c>
      <c r="B1177" s="238">
        <v>96.03</v>
      </c>
      <c r="C1177" s="47">
        <f t="shared" si="39"/>
        <v>-4.8704663212435495E-3</v>
      </c>
      <c r="E1177" s="81"/>
      <c r="F1177" s="82"/>
      <c r="G1177" s="81">
        <v>44450</v>
      </c>
      <c r="H1177" s="82">
        <v>360.76</v>
      </c>
      <c r="I1177" s="166">
        <f t="shared" si="38"/>
        <v>8.667449533076077E-3</v>
      </c>
    </row>
    <row r="1178" spans="1:9" ht="18">
      <c r="A1178" s="237">
        <v>44513</v>
      </c>
      <c r="B1178" s="238">
        <v>95.97</v>
      </c>
      <c r="C1178" s="47">
        <f t="shared" si="39"/>
        <v>-6.2480474851611678E-4</v>
      </c>
      <c r="E1178" s="81"/>
      <c r="F1178" s="82"/>
      <c r="G1178" s="81">
        <v>44453</v>
      </c>
      <c r="H1178" s="82">
        <v>361.51</v>
      </c>
      <c r="I1178" s="166">
        <f t="shared" si="38"/>
        <v>2.0789444506041921E-3</v>
      </c>
    </row>
    <row r="1179" spans="1:9" ht="18">
      <c r="A1179" s="237">
        <v>44516</v>
      </c>
      <c r="B1179" s="238">
        <v>95.99</v>
      </c>
      <c r="C1179" s="47">
        <f t="shared" si="39"/>
        <v>2.0839845785136646E-4</v>
      </c>
      <c r="E1179" s="81"/>
      <c r="F1179" s="82"/>
      <c r="G1179" s="81">
        <v>44454</v>
      </c>
      <c r="H1179" s="82">
        <v>363.77</v>
      </c>
      <c r="I1179" s="166">
        <f t="shared" si="38"/>
        <v>6.2515559735554227E-3</v>
      </c>
    </row>
    <row r="1180" spans="1:9" ht="18">
      <c r="A1180" s="237">
        <v>44517</v>
      </c>
      <c r="B1180" s="238">
        <v>95.96</v>
      </c>
      <c r="C1180" s="47">
        <f t="shared" si="39"/>
        <v>-3.1253255547458725E-4</v>
      </c>
      <c r="E1180" s="81"/>
      <c r="F1180" s="82"/>
      <c r="G1180" s="81">
        <v>44455</v>
      </c>
      <c r="H1180" s="82">
        <v>366.53</v>
      </c>
      <c r="I1180" s="166">
        <f t="shared" si="38"/>
        <v>7.5872116997002248E-3</v>
      </c>
    </row>
    <row r="1181" spans="1:9" ht="18">
      <c r="A1181" s="237">
        <v>44518</v>
      </c>
      <c r="B1181" s="238">
        <v>96.12</v>
      </c>
      <c r="C1181" s="47">
        <f t="shared" si="39"/>
        <v>1.6673614005837667E-3</v>
      </c>
      <c r="E1181" s="81"/>
      <c r="F1181" s="82"/>
      <c r="G1181" s="81">
        <v>44456</v>
      </c>
      <c r="H1181" s="82">
        <v>365.54</v>
      </c>
      <c r="I1181" s="166">
        <f t="shared" si="38"/>
        <v>-2.7010067388753001E-3</v>
      </c>
    </row>
    <row r="1182" spans="1:9" ht="18">
      <c r="A1182" s="237">
        <v>44519</v>
      </c>
      <c r="B1182" s="238">
        <v>95.89</v>
      </c>
      <c r="C1182" s="47">
        <f t="shared" si="39"/>
        <v>-2.3928422804827543E-3</v>
      </c>
      <c r="E1182" s="81"/>
      <c r="F1182" s="82"/>
      <c r="G1182" s="81">
        <v>44457</v>
      </c>
      <c r="H1182" s="82">
        <v>364.57</v>
      </c>
      <c r="I1182" s="166">
        <f t="shared" si="38"/>
        <v>-2.6536083602342053E-3</v>
      </c>
    </row>
    <row r="1183" spans="1:9" ht="18">
      <c r="A1183" s="237">
        <v>44520</v>
      </c>
      <c r="B1183" s="238">
        <v>96.15</v>
      </c>
      <c r="C1183" s="47">
        <f t="shared" si="39"/>
        <v>2.7114401918866271E-3</v>
      </c>
      <c r="E1183" s="81"/>
      <c r="F1183" s="82"/>
      <c r="G1183" s="81">
        <v>44460</v>
      </c>
      <c r="H1183" s="82">
        <v>364.61</v>
      </c>
      <c r="I1183" s="166">
        <f t="shared" si="38"/>
        <v>1.0971829826922352E-4</v>
      </c>
    </row>
    <row r="1184" spans="1:9" ht="18">
      <c r="A1184" s="237">
        <v>44523</v>
      </c>
      <c r="B1184" s="238">
        <v>96.35</v>
      </c>
      <c r="C1184" s="47">
        <f t="shared" si="39"/>
        <v>2.0800832033280869E-3</v>
      </c>
      <c r="E1184" s="81"/>
      <c r="F1184" s="82"/>
      <c r="G1184" s="81">
        <v>44461</v>
      </c>
      <c r="H1184" s="82">
        <v>364.54</v>
      </c>
      <c r="I1184" s="166">
        <f t="shared" si="38"/>
        <v>-1.9198595759850612E-4</v>
      </c>
    </row>
    <row r="1185" spans="1:9" ht="18">
      <c r="A1185" s="237">
        <v>44524</v>
      </c>
      <c r="B1185" s="238">
        <v>96.6</v>
      </c>
      <c r="C1185" s="47">
        <f t="shared" si="39"/>
        <v>2.5947067981317851E-3</v>
      </c>
      <c r="E1185" s="81"/>
      <c r="F1185" s="82"/>
      <c r="G1185" s="81">
        <v>44462</v>
      </c>
      <c r="H1185" s="82">
        <v>366.03</v>
      </c>
      <c r="I1185" s="166">
        <f t="shared" si="38"/>
        <v>4.0873429527623628E-3</v>
      </c>
    </row>
    <row r="1186" spans="1:9" ht="18">
      <c r="A1186" s="237">
        <v>44525</v>
      </c>
      <c r="B1186" s="238">
        <v>96.7</v>
      </c>
      <c r="C1186" s="47">
        <f t="shared" si="39"/>
        <v>1.0351966873707319E-3</v>
      </c>
      <c r="E1186" s="81"/>
      <c r="F1186" s="82"/>
      <c r="G1186" s="81">
        <v>44463</v>
      </c>
      <c r="H1186" s="82">
        <v>363.71</v>
      </c>
      <c r="I1186" s="166">
        <f t="shared" si="38"/>
        <v>-6.3382782832007711E-3</v>
      </c>
    </row>
    <row r="1187" spans="1:9" ht="18">
      <c r="A1187" s="237">
        <v>44527</v>
      </c>
      <c r="B1187" s="238">
        <v>96.73</v>
      </c>
      <c r="C1187" s="47">
        <f t="shared" si="39"/>
        <v>3.1023784901762497E-4</v>
      </c>
      <c r="E1187" s="81"/>
      <c r="F1187" s="82"/>
      <c r="G1187" s="81">
        <v>44464</v>
      </c>
      <c r="H1187" s="82">
        <v>359.51</v>
      </c>
      <c r="I1187" s="166">
        <f t="shared" si="38"/>
        <v>-1.1547661598526271E-2</v>
      </c>
    </row>
    <row r="1188" spans="1:9" ht="18">
      <c r="A1188" s="237">
        <v>44530</v>
      </c>
      <c r="B1188" s="238">
        <v>96.02</v>
      </c>
      <c r="C1188" s="47">
        <f t="shared" si="39"/>
        <v>-7.3400186084979779E-3</v>
      </c>
      <c r="E1188" s="81"/>
      <c r="F1188" s="82"/>
      <c r="G1188" s="81">
        <v>44467</v>
      </c>
      <c r="H1188" s="82">
        <v>362.55</v>
      </c>
      <c r="I1188" s="166">
        <f t="shared" si="38"/>
        <v>8.4559539373036952E-3</v>
      </c>
    </row>
    <row r="1189" spans="1:9" ht="18">
      <c r="A1189" s="237">
        <v>44531</v>
      </c>
      <c r="B1189" s="238">
        <v>96.42</v>
      </c>
      <c r="C1189" s="47">
        <f t="shared" si="39"/>
        <v>4.1657987919183626E-3</v>
      </c>
      <c r="E1189" s="81"/>
      <c r="F1189" s="82"/>
      <c r="G1189" s="81">
        <v>44468</v>
      </c>
      <c r="H1189" s="82">
        <v>364.78</v>
      </c>
      <c r="I1189" s="166">
        <f t="shared" si="38"/>
        <v>6.1508757412769288E-3</v>
      </c>
    </row>
    <row r="1190" spans="1:9" ht="18">
      <c r="A1190" s="237">
        <v>44532</v>
      </c>
      <c r="B1190" s="238">
        <v>96.54</v>
      </c>
      <c r="C1190" s="47">
        <f t="shared" si="39"/>
        <v>1.2445550715620701E-3</v>
      </c>
      <c r="E1190" s="81"/>
      <c r="F1190" s="82"/>
      <c r="G1190" s="81">
        <v>44469</v>
      </c>
      <c r="H1190" s="82">
        <v>366.18</v>
      </c>
      <c r="I1190" s="166">
        <f t="shared" si="38"/>
        <v>3.8379297110588961E-3</v>
      </c>
    </row>
    <row r="1191" spans="1:9" ht="18">
      <c r="A1191" s="237">
        <v>44533</v>
      </c>
      <c r="B1191" s="238">
        <v>96.46</v>
      </c>
      <c r="C1191" s="47">
        <f t="shared" si="39"/>
        <v>-8.2867205303516212E-4</v>
      </c>
      <c r="E1191" s="81"/>
      <c r="F1191" s="82"/>
      <c r="G1191" s="81">
        <v>44470</v>
      </c>
      <c r="H1191" s="82">
        <v>368.66</v>
      </c>
      <c r="I1191" s="166">
        <f t="shared" si="38"/>
        <v>6.7726254847342293E-3</v>
      </c>
    </row>
    <row r="1192" spans="1:9" ht="18">
      <c r="A1192" s="237">
        <v>44534</v>
      </c>
      <c r="B1192" s="238">
        <v>96.33</v>
      </c>
      <c r="C1192" s="47">
        <f t="shared" si="39"/>
        <v>-1.3477088948786742E-3</v>
      </c>
      <c r="E1192" s="81"/>
      <c r="F1192" s="82"/>
      <c r="G1192" s="81">
        <v>44471</v>
      </c>
      <c r="H1192" s="82">
        <v>370.29</v>
      </c>
      <c r="I1192" s="166">
        <f t="shared" si="38"/>
        <v>4.4214181088264581E-3</v>
      </c>
    </row>
    <row r="1193" spans="1:9" ht="18">
      <c r="A1193" s="237">
        <v>44537</v>
      </c>
      <c r="B1193" s="238">
        <v>95.93</v>
      </c>
      <c r="C1193" s="47">
        <f t="shared" si="39"/>
        <v>-4.1523928163603729E-3</v>
      </c>
      <c r="E1193" s="81"/>
      <c r="F1193" s="82"/>
      <c r="G1193" s="81">
        <v>44474</v>
      </c>
      <c r="H1193" s="82">
        <v>369.8</v>
      </c>
      <c r="I1193" s="166">
        <f t="shared" si="38"/>
        <v>-1.3232871533123136E-3</v>
      </c>
    </row>
    <row r="1194" spans="1:9" ht="18">
      <c r="A1194" s="237">
        <v>44538</v>
      </c>
      <c r="B1194" s="238">
        <v>95.85</v>
      </c>
      <c r="C1194" s="47">
        <f t="shared" si="39"/>
        <v>-8.3394141561565771E-4</v>
      </c>
      <c r="E1194" s="81"/>
      <c r="F1194" s="82"/>
      <c r="G1194" s="81">
        <v>44475</v>
      </c>
      <c r="H1194" s="82">
        <v>370.48</v>
      </c>
      <c r="I1194" s="166">
        <f t="shared" si="38"/>
        <v>1.8388318009734395E-3</v>
      </c>
    </row>
    <row r="1195" spans="1:9" ht="18">
      <c r="A1195" s="237">
        <v>44539</v>
      </c>
      <c r="B1195" s="238">
        <v>96.24</v>
      </c>
      <c r="C1195" s="47">
        <f t="shared" si="39"/>
        <v>4.0688575899843205E-3</v>
      </c>
      <c r="E1195" s="81"/>
      <c r="F1195" s="82"/>
      <c r="G1195" s="81">
        <v>44476</v>
      </c>
      <c r="H1195" s="82">
        <v>369.62</v>
      </c>
      <c r="I1195" s="166">
        <f t="shared" si="38"/>
        <v>-2.321312891384153E-3</v>
      </c>
    </row>
    <row r="1196" spans="1:9" ht="18">
      <c r="A1196" s="237">
        <v>44540</v>
      </c>
      <c r="B1196" s="238">
        <v>96.31</v>
      </c>
      <c r="C1196" s="47">
        <f t="shared" si="39"/>
        <v>7.2734829592691064E-4</v>
      </c>
      <c r="E1196" s="81"/>
      <c r="F1196" s="82"/>
      <c r="G1196" s="81">
        <v>44477</v>
      </c>
      <c r="H1196" s="82">
        <v>370.81</v>
      </c>
      <c r="I1196" s="166">
        <f t="shared" si="38"/>
        <v>3.219522753097781E-3</v>
      </c>
    </row>
    <row r="1197" spans="1:9" ht="18">
      <c r="A1197" s="237">
        <v>44541</v>
      </c>
      <c r="B1197" s="238">
        <v>96.26</v>
      </c>
      <c r="C1197" s="47">
        <f t="shared" si="39"/>
        <v>-5.191568892118914E-4</v>
      </c>
      <c r="E1197" s="81"/>
      <c r="F1197" s="82"/>
      <c r="G1197" s="81">
        <v>44478</v>
      </c>
      <c r="H1197" s="82">
        <v>367.22</v>
      </c>
      <c r="I1197" s="166">
        <f t="shared" si="38"/>
        <v>-9.6815080499446093E-3</v>
      </c>
    </row>
    <row r="1198" spans="1:9" ht="18">
      <c r="A1198" s="237">
        <v>44544</v>
      </c>
      <c r="B1198" s="238">
        <v>96.39</v>
      </c>
      <c r="C1198" s="47">
        <f t="shared" si="39"/>
        <v>1.3505090380219187E-3</v>
      </c>
      <c r="E1198" s="81"/>
      <c r="F1198" s="82"/>
      <c r="G1198" s="81">
        <v>44481</v>
      </c>
      <c r="H1198" s="82">
        <v>364.46</v>
      </c>
      <c r="I1198" s="166">
        <f t="shared" si="38"/>
        <v>-7.5159305048746461E-3</v>
      </c>
    </row>
    <row r="1199" spans="1:9" ht="18">
      <c r="A1199" s="237">
        <v>44545</v>
      </c>
      <c r="B1199" s="238">
        <v>96.65</v>
      </c>
      <c r="C1199" s="47">
        <f t="shared" si="39"/>
        <v>2.6973752463950174E-3</v>
      </c>
      <c r="E1199" s="81"/>
      <c r="F1199" s="82"/>
      <c r="G1199" s="81">
        <v>44482</v>
      </c>
      <c r="H1199" s="82">
        <v>360.36</v>
      </c>
      <c r="I1199" s="166">
        <f t="shared" si="38"/>
        <v>-1.1249519837567834E-2</v>
      </c>
    </row>
    <row r="1200" spans="1:9" ht="18">
      <c r="A1200" s="237">
        <v>44546</v>
      </c>
      <c r="B1200" s="238">
        <v>96.28</v>
      </c>
      <c r="C1200" s="47">
        <f t="shared" si="39"/>
        <v>-3.8282462493534064E-3</v>
      </c>
      <c r="E1200" s="81"/>
      <c r="F1200" s="82"/>
      <c r="G1200" s="81">
        <v>44483</v>
      </c>
      <c r="H1200" s="82">
        <v>366.8</v>
      </c>
      <c r="I1200" s="166">
        <f t="shared" si="38"/>
        <v>1.7871017871017969E-2</v>
      </c>
    </row>
    <row r="1201" spans="1:9" ht="18">
      <c r="A1201" s="237">
        <v>44547</v>
      </c>
      <c r="B1201" s="238">
        <v>96.7</v>
      </c>
      <c r="C1201" s="47">
        <f t="shared" si="39"/>
        <v>4.3622766929787282E-3</v>
      </c>
      <c r="E1201" s="81"/>
      <c r="F1201" s="82"/>
      <c r="G1201" s="81">
        <v>44484</v>
      </c>
      <c r="H1201" s="82">
        <v>368.91</v>
      </c>
      <c r="I1201" s="166">
        <f t="shared" si="38"/>
        <v>5.7524536532169712E-3</v>
      </c>
    </row>
    <row r="1202" spans="1:9" ht="18">
      <c r="A1202" s="237">
        <v>44548</v>
      </c>
      <c r="B1202" s="238">
        <v>96.27</v>
      </c>
      <c r="C1202" s="47">
        <f t="shared" si="39"/>
        <v>-4.4467425025853657E-3</v>
      </c>
      <c r="E1202" s="81"/>
      <c r="F1202" s="82"/>
      <c r="G1202" s="81">
        <v>44485</v>
      </c>
      <c r="H1202" s="82">
        <v>363.53</v>
      </c>
      <c r="I1202" s="166">
        <f t="shared" si="38"/>
        <v>-1.4583502751348676E-2</v>
      </c>
    </row>
    <row r="1203" spans="1:9" ht="18">
      <c r="A1203" s="237">
        <v>44551</v>
      </c>
      <c r="B1203" s="238">
        <v>96.31</v>
      </c>
      <c r="C1203" s="47">
        <f t="shared" si="39"/>
        <v>4.1549807832153007E-4</v>
      </c>
      <c r="E1203" s="81"/>
      <c r="F1203" s="82"/>
      <c r="G1203" s="81">
        <v>44488</v>
      </c>
      <c r="H1203" s="82">
        <v>368.52</v>
      </c>
      <c r="I1203" s="166">
        <f t="shared" si="38"/>
        <v>1.3726515005639151E-2</v>
      </c>
    </row>
    <row r="1204" spans="1:9" ht="18">
      <c r="A1204" s="237">
        <v>44552</v>
      </c>
      <c r="B1204" s="238">
        <v>96.26</v>
      </c>
      <c r="C1204" s="47">
        <f t="shared" si="39"/>
        <v>-5.191568892118914E-4</v>
      </c>
      <c r="E1204" s="81"/>
      <c r="F1204" s="82"/>
      <c r="G1204" s="81">
        <v>44489</v>
      </c>
      <c r="H1204" s="82">
        <v>369.35</v>
      </c>
      <c r="I1204" s="166">
        <f t="shared" si="38"/>
        <v>2.2522522522523403E-3</v>
      </c>
    </row>
    <row r="1205" spans="1:9" ht="18">
      <c r="A1205" s="237">
        <v>44553</v>
      </c>
      <c r="B1205" s="238">
        <v>96.55</v>
      </c>
      <c r="C1205" s="47">
        <f t="shared" si="39"/>
        <v>3.0126740078952885E-3</v>
      </c>
      <c r="E1205" s="81"/>
      <c r="F1205" s="82"/>
      <c r="G1205" s="81">
        <v>44490</v>
      </c>
      <c r="H1205" s="82">
        <v>367.94</v>
      </c>
      <c r="I1205" s="166">
        <f t="shared" si="38"/>
        <v>-3.8175172600515284E-3</v>
      </c>
    </row>
    <row r="1206" spans="1:9" ht="18">
      <c r="A1206" s="237">
        <v>44555</v>
      </c>
      <c r="B1206" s="238">
        <v>96.54</v>
      </c>
      <c r="C1206" s="47">
        <f t="shared" si="39"/>
        <v>-1.0357327809418226E-4</v>
      </c>
      <c r="E1206" s="81"/>
      <c r="F1206" s="82"/>
      <c r="G1206" s="81">
        <v>44491</v>
      </c>
      <c r="H1206" s="82">
        <v>368.92</v>
      </c>
      <c r="I1206" s="166">
        <f t="shared" si="38"/>
        <v>2.6634777409360044E-3</v>
      </c>
    </row>
    <row r="1207" spans="1:9" ht="18">
      <c r="A1207" s="237">
        <v>44558</v>
      </c>
      <c r="B1207" s="238">
        <v>96.59</v>
      </c>
      <c r="C1207" s="47">
        <f t="shared" si="39"/>
        <v>5.1792003314687918E-4</v>
      </c>
      <c r="E1207" s="81"/>
      <c r="F1207" s="82"/>
      <c r="G1207" s="81">
        <v>44492</v>
      </c>
      <c r="H1207" s="82">
        <v>370.04</v>
      </c>
      <c r="I1207" s="166">
        <f t="shared" si="38"/>
        <v>3.035888539520748E-3</v>
      </c>
    </row>
    <row r="1208" spans="1:9" ht="18">
      <c r="A1208" s="237">
        <v>44559</v>
      </c>
      <c r="B1208" s="238">
        <v>96.47</v>
      </c>
      <c r="C1208" s="47">
        <f t="shared" si="39"/>
        <v>-1.2423646340201655E-3</v>
      </c>
      <c r="E1208" s="81"/>
      <c r="F1208" s="82"/>
      <c r="G1208" s="81">
        <v>44495</v>
      </c>
      <c r="H1208" s="82">
        <v>373.91</v>
      </c>
      <c r="I1208" s="166">
        <f t="shared" si="38"/>
        <v>1.0458328829315855E-2</v>
      </c>
    </row>
    <row r="1209" spans="1:9" ht="18">
      <c r="A1209" s="237">
        <v>44560</v>
      </c>
      <c r="B1209" s="238">
        <v>96.28</v>
      </c>
      <c r="C1209" s="47">
        <f t="shared" si="39"/>
        <v>-1.9695242044158734E-3</v>
      </c>
      <c r="E1209" s="81"/>
      <c r="F1209" s="82"/>
      <c r="G1209" s="81">
        <v>44496</v>
      </c>
      <c r="H1209" s="82">
        <v>373.25</v>
      </c>
      <c r="I1209" s="166">
        <f t="shared" si="38"/>
        <v>-1.7651306464122607E-3</v>
      </c>
    </row>
    <row r="1210" spans="1:9" ht="18">
      <c r="A1210" s="237">
        <v>44562</v>
      </c>
      <c r="B1210" s="238">
        <v>96.3</v>
      </c>
      <c r="C1210" s="47">
        <f t="shared" si="39"/>
        <v>2.0772746157038391E-4</v>
      </c>
      <c r="E1210" s="81"/>
      <c r="F1210" s="82"/>
      <c r="G1210" s="81">
        <v>44497</v>
      </c>
      <c r="H1210" s="82">
        <v>375.51</v>
      </c>
      <c r="I1210" s="166">
        <f t="shared" si="38"/>
        <v>6.0549229738779964E-3</v>
      </c>
    </row>
    <row r="1211" spans="1:9" ht="18">
      <c r="A1211" s="237">
        <v>44565</v>
      </c>
      <c r="B1211" s="238">
        <v>96.45</v>
      </c>
      <c r="C1211" s="47">
        <f t="shared" si="39"/>
        <v>1.5576323987540608E-3</v>
      </c>
      <c r="E1211" s="81"/>
      <c r="F1211" s="82"/>
      <c r="G1211" s="81">
        <v>44498</v>
      </c>
      <c r="H1211" s="82">
        <v>373.69</v>
      </c>
      <c r="I1211" s="166">
        <f t="shared" si="38"/>
        <v>-4.8467417645335908E-3</v>
      </c>
    </row>
    <row r="1212" spans="1:9" ht="18">
      <c r="A1212" s="237">
        <v>44566</v>
      </c>
      <c r="B1212" s="238">
        <v>96.35</v>
      </c>
      <c r="C1212" s="47">
        <f t="shared" si="39"/>
        <v>-1.0368066355626038E-3</v>
      </c>
      <c r="E1212" s="81"/>
      <c r="F1212" s="82"/>
      <c r="G1212" s="81">
        <v>44499</v>
      </c>
      <c r="H1212" s="82">
        <v>370.73</v>
      </c>
      <c r="I1212" s="166">
        <f t="shared" si="38"/>
        <v>-7.9210040407824422E-3</v>
      </c>
    </row>
    <row r="1213" spans="1:9" ht="18">
      <c r="A1213" s="237">
        <v>44567</v>
      </c>
      <c r="B1213" s="238">
        <v>96.16</v>
      </c>
      <c r="C1213" s="47">
        <f t="shared" si="39"/>
        <v>-1.9719771665801522E-3</v>
      </c>
      <c r="E1213" s="81"/>
      <c r="F1213" s="82"/>
      <c r="G1213" s="81">
        <v>44502</v>
      </c>
      <c r="H1213" s="82">
        <v>371.77</v>
      </c>
      <c r="I1213" s="166">
        <f t="shared" si="38"/>
        <v>2.805276076929264E-3</v>
      </c>
    </row>
    <row r="1214" spans="1:9" ht="18">
      <c r="A1214" s="237">
        <v>44568</v>
      </c>
      <c r="B1214" s="238">
        <v>96.01</v>
      </c>
      <c r="C1214" s="47">
        <f t="shared" si="39"/>
        <v>-1.5599001663892942E-3</v>
      </c>
      <c r="E1214" s="81"/>
      <c r="F1214" s="82"/>
      <c r="G1214" s="81">
        <v>44503</v>
      </c>
      <c r="H1214" s="82">
        <v>368.33</v>
      </c>
      <c r="I1214" s="166">
        <f t="shared" si="38"/>
        <v>-9.2530327890900654E-3</v>
      </c>
    </row>
    <row r="1215" spans="1:9" ht="18">
      <c r="A1215" s="237">
        <v>44569</v>
      </c>
      <c r="B1215" s="238">
        <v>96.36</v>
      </c>
      <c r="C1215" s="47">
        <f t="shared" si="39"/>
        <v>3.6454535985834813E-3</v>
      </c>
      <c r="E1215" s="81"/>
      <c r="F1215" s="82"/>
      <c r="G1215" s="81">
        <v>44504</v>
      </c>
      <c r="H1215" s="82">
        <v>367.59</v>
      </c>
      <c r="I1215" s="166">
        <f t="shared" si="38"/>
        <v>-2.0090679553661506E-3</v>
      </c>
    </row>
    <row r="1216" spans="1:9" ht="18">
      <c r="A1216" s="237">
        <v>44572</v>
      </c>
      <c r="B1216" s="238">
        <v>96.28</v>
      </c>
      <c r="C1216" s="47">
        <f t="shared" si="39"/>
        <v>-8.3022000830212939E-4</v>
      </c>
      <c r="E1216" s="81"/>
      <c r="F1216" s="82"/>
      <c r="G1216" s="81">
        <v>44505</v>
      </c>
      <c r="H1216" s="82">
        <v>370.25</v>
      </c>
      <c r="I1216" s="166">
        <f t="shared" si="38"/>
        <v>7.2363230773415665E-3</v>
      </c>
    </row>
    <row r="1217" spans="1:9" ht="18">
      <c r="A1217" s="237">
        <v>44573</v>
      </c>
      <c r="B1217" s="238">
        <v>96.16</v>
      </c>
      <c r="C1217" s="47">
        <f t="shared" si="39"/>
        <v>-1.2463647694225255E-3</v>
      </c>
      <c r="E1217" s="81"/>
      <c r="F1217" s="82"/>
      <c r="G1217" s="81">
        <v>44506</v>
      </c>
      <c r="H1217" s="82">
        <v>367.93</v>
      </c>
      <c r="I1217" s="166">
        <f t="shared" si="38"/>
        <v>-6.2660364618500886E-3</v>
      </c>
    </row>
    <row r="1218" spans="1:9" ht="18">
      <c r="A1218" s="237">
        <v>44574</v>
      </c>
      <c r="B1218" s="238">
        <v>96.36</v>
      </c>
      <c r="C1218" s="47">
        <f t="shared" si="39"/>
        <v>2.0798668885191329E-3</v>
      </c>
      <c r="E1218" s="81"/>
      <c r="F1218" s="82"/>
      <c r="G1218" s="81">
        <v>44509</v>
      </c>
      <c r="H1218" s="82">
        <v>371.25</v>
      </c>
      <c r="I1218" s="166">
        <f t="shared" si="38"/>
        <v>9.0234555486097268E-3</v>
      </c>
    </row>
    <row r="1219" spans="1:9" ht="18">
      <c r="A1219" s="237">
        <v>44575</v>
      </c>
      <c r="B1219" s="238">
        <v>96.4</v>
      </c>
      <c r="C1219" s="47">
        <f t="shared" si="39"/>
        <v>4.1511000415117572E-4</v>
      </c>
      <c r="E1219" s="81"/>
      <c r="F1219" s="82"/>
      <c r="G1219" s="81">
        <v>44510</v>
      </c>
      <c r="H1219" s="82">
        <v>371.58</v>
      </c>
      <c r="I1219" s="166">
        <f t="shared" si="38"/>
        <v>8.8888888888893902E-4</v>
      </c>
    </row>
    <row r="1220" spans="1:9" ht="18">
      <c r="A1220" s="237">
        <v>44576</v>
      </c>
      <c r="B1220" s="238">
        <v>96.21</v>
      </c>
      <c r="C1220" s="47">
        <f t="shared" si="39"/>
        <v>-1.970954356846577E-3</v>
      </c>
      <c r="E1220" s="81"/>
      <c r="F1220" s="82"/>
      <c r="G1220" s="81">
        <v>44511</v>
      </c>
      <c r="H1220" s="82">
        <v>372.68</v>
      </c>
      <c r="I1220" s="166">
        <f t="shared" si="38"/>
        <v>2.9603315571344879E-3</v>
      </c>
    </row>
    <row r="1221" spans="1:9" ht="18">
      <c r="A1221" s="237">
        <v>44580</v>
      </c>
      <c r="B1221" s="238">
        <v>95.73</v>
      </c>
      <c r="C1221" s="47">
        <f t="shared" si="39"/>
        <v>-4.9890863735577717E-3</v>
      </c>
      <c r="E1221" s="81"/>
      <c r="F1221" s="82"/>
      <c r="G1221" s="81">
        <v>44512</v>
      </c>
      <c r="H1221" s="82">
        <v>373.46</v>
      </c>
      <c r="I1221" s="166">
        <f t="shared" si="38"/>
        <v>2.092948373940029E-3</v>
      </c>
    </row>
    <row r="1222" spans="1:9" ht="18">
      <c r="A1222" s="237">
        <v>44581</v>
      </c>
      <c r="B1222" s="238">
        <v>96.5</v>
      </c>
      <c r="C1222" s="47">
        <f t="shared" si="39"/>
        <v>8.0434555520734197E-3</v>
      </c>
      <c r="E1222" s="81"/>
      <c r="F1222" s="82"/>
      <c r="G1222" s="81">
        <v>44513</v>
      </c>
      <c r="H1222" s="82">
        <v>368.52</v>
      </c>
      <c r="I1222" s="166">
        <f t="shared" si="38"/>
        <v>-1.3227654902800867E-2</v>
      </c>
    </row>
    <row r="1223" spans="1:9" ht="18">
      <c r="A1223" s="237">
        <v>44582</v>
      </c>
      <c r="B1223" s="238">
        <v>96.48</v>
      </c>
      <c r="C1223" s="47">
        <f t="shared" si="39"/>
        <v>-2.0725388601028349E-4</v>
      </c>
      <c r="E1223" s="81"/>
      <c r="F1223" s="82"/>
      <c r="G1223" s="81">
        <v>44516</v>
      </c>
      <c r="H1223" s="82">
        <v>368.05</v>
      </c>
      <c r="I1223" s="166">
        <f t="shared" si="38"/>
        <v>-1.275371757299415E-3</v>
      </c>
    </row>
    <row r="1224" spans="1:9" ht="18">
      <c r="A1224" s="237">
        <v>44583</v>
      </c>
      <c r="B1224" s="238">
        <v>96.72</v>
      </c>
      <c r="C1224" s="47">
        <f t="shared" si="39"/>
        <v>2.4875621890547706E-3</v>
      </c>
      <c r="E1224" s="81"/>
      <c r="F1224" s="82"/>
      <c r="G1224" s="81">
        <v>44517</v>
      </c>
      <c r="H1224" s="82">
        <v>362.38</v>
      </c>
      <c r="I1224" s="166">
        <f t="shared" si="38"/>
        <v>-1.5405515554951843E-2</v>
      </c>
    </row>
    <row r="1225" spans="1:9" ht="18">
      <c r="A1225" s="237">
        <v>44586</v>
      </c>
      <c r="B1225" s="238">
        <v>96.82</v>
      </c>
      <c r="C1225" s="47">
        <f t="shared" si="39"/>
        <v>1.0339123242348869E-3</v>
      </c>
      <c r="E1225" s="81"/>
      <c r="F1225" s="82"/>
      <c r="G1225" s="81">
        <v>44518</v>
      </c>
      <c r="H1225" s="82">
        <v>362.15</v>
      </c>
      <c r="I1225" s="166">
        <f t="shared" si="38"/>
        <v>-6.3469286384465473E-4</v>
      </c>
    </row>
    <row r="1226" spans="1:9" ht="18">
      <c r="A1226" s="237">
        <v>44587</v>
      </c>
      <c r="B1226" s="238">
        <v>96.78</v>
      </c>
      <c r="C1226" s="47">
        <f t="shared" si="39"/>
        <v>-4.1313778145002367E-4</v>
      </c>
      <c r="E1226" s="81"/>
      <c r="F1226" s="82"/>
      <c r="G1226" s="81">
        <v>44519</v>
      </c>
      <c r="H1226" s="82">
        <v>364.11</v>
      </c>
      <c r="I1226" s="166">
        <f t="shared" si="38"/>
        <v>5.4121220488749788E-3</v>
      </c>
    </row>
    <row r="1227" spans="1:9" ht="18">
      <c r="A1227" s="237">
        <v>44588</v>
      </c>
      <c r="B1227" s="238">
        <v>96.66</v>
      </c>
      <c r="C1227" s="47">
        <f t="shared" si="39"/>
        <v>-1.2399256044637319E-3</v>
      </c>
      <c r="E1227" s="81"/>
      <c r="F1227" s="82"/>
      <c r="G1227" s="81">
        <v>44520</v>
      </c>
      <c r="H1227" s="82">
        <v>355.42</v>
      </c>
      <c r="I1227" s="166">
        <f t="shared" si="38"/>
        <v>-2.3866413995770497E-2</v>
      </c>
    </row>
    <row r="1228" spans="1:9" ht="18">
      <c r="A1228" s="237">
        <v>44589</v>
      </c>
      <c r="B1228" s="238">
        <v>96.67</v>
      </c>
      <c r="C1228" s="47">
        <f t="shared" si="39"/>
        <v>1.0345541071798969E-4</v>
      </c>
      <c r="E1228" s="81"/>
      <c r="F1228" s="82"/>
      <c r="G1228" s="81">
        <v>44523</v>
      </c>
      <c r="H1228" s="82">
        <v>357.87</v>
      </c>
      <c r="I1228" s="166">
        <f t="shared" si="38"/>
        <v>6.8932530527263669E-3</v>
      </c>
    </row>
    <row r="1229" spans="1:9" ht="18">
      <c r="A1229" s="237">
        <v>44590</v>
      </c>
      <c r="B1229" s="238">
        <v>96.58</v>
      </c>
      <c r="C1229" s="47">
        <f t="shared" si="39"/>
        <v>-9.3100237922838502E-4</v>
      </c>
      <c r="E1229" s="81"/>
      <c r="F1229" s="82"/>
      <c r="G1229" s="81">
        <v>44524</v>
      </c>
      <c r="H1229" s="82">
        <v>360.7</v>
      </c>
      <c r="I1229" s="166">
        <f t="shared" si="38"/>
        <v>7.9078995165842159E-3</v>
      </c>
    </row>
    <row r="1230" spans="1:9" ht="18">
      <c r="A1230" s="237">
        <v>44593</v>
      </c>
      <c r="B1230" s="238">
        <v>96.14</v>
      </c>
      <c r="C1230" s="47">
        <f t="shared" si="39"/>
        <v>-4.5558086560364419E-3</v>
      </c>
      <c r="E1230" s="81"/>
      <c r="F1230" s="82"/>
      <c r="G1230" s="81">
        <v>44525</v>
      </c>
      <c r="H1230" s="82">
        <v>364.18</v>
      </c>
      <c r="I1230" s="166">
        <f t="shared" si="38"/>
        <v>9.6479068477959284E-3</v>
      </c>
    </row>
    <row r="1231" spans="1:9" ht="18">
      <c r="A1231" s="237">
        <v>44594</v>
      </c>
      <c r="B1231" s="238">
        <v>96.16</v>
      </c>
      <c r="C1231" s="47">
        <f t="shared" si="39"/>
        <v>2.0802995631363785E-4</v>
      </c>
      <c r="E1231" s="81"/>
      <c r="F1231" s="82"/>
      <c r="G1231" s="81">
        <v>44526</v>
      </c>
      <c r="H1231" s="82">
        <v>363.81</v>
      </c>
      <c r="I1231" s="166">
        <f t="shared" ref="I1231:I1294" si="40">H1231/H1230-1</f>
        <v>-1.0159811082431913E-3</v>
      </c>
    </row>
    <row r="1232" spans="1:9" ht="18">
      <c r="A1232" s="237">
        <v>44595</v>
      </c>
      <c r="B1232" s="238">
        <v>96.2</v>
      </c>
      <c r="C1232" s="47">
        <f t="shared" si="39"/>
        <v>4.1597337770382659E-4</v>
      </c>
      <c r="E1232" s="81"/>
      <c r="F1232" s="82"/>
      <c r="G1232" s="81">
        <v>44527</v>
      </c>
      <c r="H1232" s="82">
        <v>364.17</v>
      </c>
      <c r="I1232" s="166">
        <f t="shared" si="40"/>
        <v>9.8952750061842565E-4</v>
      </c>
    </row>
    <row r="1233" spans="1:9" ht="18">
      <c r="A1233" s="237">
        <v>44596</v>
      </c>
      <c r="B1233" s="238">
        <v>96.44</v>
      </c>
      <c r="C1233" s="47">
        <f t="shared" si="39"/>
        <v>2.4948024948023839E-3</v>
      </c>
      <c r="E1233" s="81"/>
      <c r="F1233" s="82"/>
      <c r="G1233" s="81">
        <v>44530</v>
      </c>
      <c r="H1233" s="82">
        <v>364.42</v>
      </c>
      <c r="I1233" s="166">
        <f t="shared" si="40"/>
        <v>6.8649257215036563E-4</v>
      </c>
    </row>
    <row r="1234" spans="1:9" ht="18">
      <c r="A1234" s="237">
        <v>44597</v>
      </c>
      <c r="B1234" s="238">
        <v>96.69</v>
      </c>
      <c r="C1234" s="47">
        <f t="shared" si="39"/>
        <v>2.5922853587723171E-3</v>
      </c>
      <c r="E1234" s="81"/>
      <c r="F1234" s="82"/>
      <c r="G1234" s="81">
        <v>44531</v>
      </c>
      <c r="H1234" s="82">
        <v>364.7</v>
      </c>
      <c r="I1234" s="166">
        <f t="shared" si="40"/>
        <v>7.6834421820959342E-4</v>
      </c>
    </row>
    <row r="1235" spans="1:9" ht="18">
      <c r="A1235" s="237">
        <v>44600</v>
      </c>
      <c r="B1235" s="238">
        <v>96.72</v>
      </c>
      <c r="C1235" s="47">
        <f t="shared" si="39"/>
        <v>3.1026993484339904E-4</v>
      </c>
      <c r="E1235" s="81"/>
      <c r="F1235" s="82"/>
      <c r="G1235" s="81">
        <v>44532</v>
      </c>
      <c r="H1235" s="82">
        <v>364.08</v>
      </c>
      <c r="I1235" s="166">
        <f t="shared" si="40"/>
        <v>-1.7000274197971343E-3</v>
      </c>
    </row>
    <row r="1236" spans="1:9" ht="18">
      <c r="A1236" s="237">
        <v>44601</v>
      </c>
      <c r="B1236" s="238">
        <v>96.97</v>
      </c>
      <c r="C1236" s="47">
        <f t="shared" si="39"/>
        <v>2.5847808105872172E-3</v>
      </c>
      <c r="E1236" s="81"/>
      <c r="F1236" s="82"/>
      <c r="G1236" s="81">
        <v>44533</v>
      </c>
      <c r="H1236" s="82">
        <v>365.33</v>
      </c>
      <c r="I1236" s="166">
        <f t="shared" si="40"/>
        <v>3.4333113601405785E-3</v>
      </c>
    </row>
    <row r="1237" spans="1:9" ht="18">
      <c r="A1237" s="237">
        <v>44602</v>
      </c>
      <c r="B1237" s="238">
        <v>96.98</v>
      </c>
      <c r="C1237" s="47">
        <f t="shared" si="39"/>
        <v>1.0312467773543332E-4</v>
      </c>
      <c r="E1237" s="81"/>
      <c r="F1237" s="82"/>
      <c r="G1237" s="81">
        <v>44534</v>
      </c>
      <c r="H1237" s="82">
        <v>366.4</v>
      </c>
      <c r="I1237" s="166">
        <f t="shared" si="40"/>
        <v>2.9288588399529747E-3</v>
      </c>
    </row>
    <row r="1238" spans="1:9" ht="18">
      <c r="A1238" s="237">
        <v>44603</v>
      </c>
      <c r="B1238" s="238">
        <v>97.25</v>
      </c>
      <c r="C1238" s="47">
        <f t="shared" si="39"/>
        <v>2.7840791915858532E-3</v>
      </c>
      <c r="E1238" s="81"/>
      <c r="F1238" s="82"/>
      <c r="G1238" s="81">
        <v>44537</v>
      </c>
      <c r="H1238" s="82">
        <v>365.82</v>
      </c>
      <c r="I1238" s="166">
        <f t="shared" si="40"/>
        <v>-1.5829694323143961E-3</v>
      </c>
    </row>
    <row r="1239" spans="1:9" ht="18">
      <c r="A1239" s="237">
        <v>44604</v>
      </c>
      <c r="B1239" s="238">
        <v>97.42</v>
      </c>
      <c r="C1239" s="47">
        <f t="shared" ref="C1239:C1270" si="41">B1239/B1238-1</f>
        <v>1.7480719794344957E-3</v>
      </c>
      <c r="E1239" s="81"/>
      <c r="F1239" s="82"/>
      <c r="G1239" s="81">
        <v>44538</v>
      </c>
      <c r="H1239" s="82">
        <v>364.47</v>
      </c>
      <c r="I1239" s="166">
        <f t="shared" si="40"/>
        <v>-3.6903395112349857E-3</v>
      </c>
    </row>
    <row r="1240" spans="1:9" ht="18">
      <c r="A1240" s="237">
        <v>44608</v>
      </c>
      <c r="B1240" s="238">
        <v>97.62</v>
      </c>
      <c r="C1240" s="47">
        <f t="shared" si="41"/>
        <v>2.0529665366455507E-3</v>
      </c>
      <c r="E1240" s="81"/>
      <c r="F1240" s="82"/>
      <c r="G1240" s="81">
        <v>44539</v>
      </c>
      <c r="H1240" s="82">
        <v>365.16</v>
      </c>
      <c r="I1240" s="166">
        <f t="shared" si="40"/>
        <v>1.893159930858479E-3</v>
      </c>
    </row>
    <row r="1241" spans="1:9" ht="18">
      <c r="A1241" s="237">
        <v>44609</v>
      </c>
      <c r="B1241" s="238">
        <v>97.66</v>
      </c>
      <c r="C1241" s="47">
        <f t="shared" si="41"/>
        <v>4.0975209997951012E-4</v>
      </c>
      <c r="E1241" s="81"/>
      <c r="F1241" s="82"/>
      <c r="G1241" s="81">
        <v>44540</v>
      </c>
      <c r="H1241" s="82">
        <v>364.12</v>
      </c>
      <c r="I1241" s="166">
        <f t="shared" si="40"/>
        <v>-2.8480666009420563E-3</v>
      </c>
    </row>
    <row r="1242" spans="1:9" ht="18">
      <c r="A1242" s="237">
        <v>44610</v>
      </c>
      <c r="B1242" s="238">
        <v>97.55</v>
      </c>
      <c r="C1242" s="47">
        <f t="shared" si="41"/>
        <v>-1.1263567479008474E-3</v>
      </c>
      <c r="E1242" s="81"/>
      <c r="F1242" s="82"/>
      <c r="G1242" s="81">
        <v>44541</v>
      </c>
      <c r="H1242" s="82">
        <v>367.39</v>
      </c>
      <c r="I1242" s="166">
        <f t="shared" si="40"/>
        <v>8.9805558607052305E-3</v>
      </c>
    </row>
    <row r="1243" spans="1:9" ht="18">
      <c r="A1243" s="237">
        <v>44611</v>
      </c>
      <c r="B1243" s="238">
        <v>97.65</v>
      </c>
      <c r="C1243" s="47">
        <f t="shared" si="41"/>
        <v>1.025115325474113E-3</v>
      </c>
      <c r="E1243" s="81"/>
      <c r="F1243" s="82"/>
      <c r="G1243" s="81">
        <v>44544</v>
      </c>
      <c r="H1243" s="82">
        <v>364.23</v>
      </c>
      <c r="I1243" s="166">
        <f t="shared" si="40"/>
        <v>-8.6012139688068645E-3</v>
      </c>
    </row>
    <row r="1244" spans="1:9" ht="18">
      <c r="A1244" s="237">
        <v>44614</v>
      </c>
      <c r="B1244" s="238">
        <v>97.71</v>
      </c>
      <c r="C1244" s="47">
        <f t="shared" si="41"/>
        <v>6.1443932411653357E-4</v>
      </c>
      <c r="E1244" s="81"/>
      <c r="F1244" s="82"/>
      <c r="G1244" s="81">
        <v>44545</v>
      </c>
      <c r="H1244" s="82">
        <v>359.32</v>
      </c>
      <c r="I1244" s="166">
        <f t="shared" si="40"/>
        <v>-1.3480493095022417E-2</v>
      </c>
    </row>
    <row r="1245" spans="1:9" ht="18">
      <c r="A1245" s="237">
        <v>44615</v>
      </c>
      <c r="B1245" s="238">
        <v>97.65</v>
      </c>
      <c r="C1245" s="47">
        <f t="shared" si="41"/>
        <v>-6.1406202026392798E-4</v>
      </c>
      <c r="E1245" s="81"/>
      <c r="F1245" s="82"/>
      <c r="G1245" s="81">
        <v>44546</v>
      </c>
      <c r="H1245" s="82">
        <v>360.28</v>
      </c>
      <c r="I1245" s="166">
        <f t="shared" si="40"/>
        <v>2.6717132361127049E-3</v>
      </c>
    </row>
    <row r="1246" spans="1:9" ht="18">
      <c r="A1246" s="237">
        <v>44616</v>
      </c>
      <c r="B1246" s="238">
        <v>97.74</v>
      </c>
      <c r="C1246" s="47">
        <f t="shared" si="41"/>
        <v>9.2165898617491138E-4</v>
      </c>
      <c r="E1246" s="81"/>
      <c r="F1246" s="82"/>
      <c r="G1246" s="81">
        <v>44547</v>
      </c>
      <c r="H1246" s="82">
        <v>360.35</v>
      </c>
      <c r="I1246" s="166">
        <f t="shared" si="40"/>
        <v>1.9429332741216498E-4</v>
      </c>
    </row>
    <row r="1247" spans="1:9" ht="18">
      <c r="A1247" s="237">
        <v>44617</v>
      </c>
      <c r="B1247" s="238">
        <v>97.68</v>
      </c>
      <c r="C1247" s="47">
        <f t="shared" si="41"/>
        <v>-6.1387354205022504E-4</v>
      </c>
      <c r="E1247" s="81"/>
      <c r="F1247" s="82"/>
      <c r="G1247" s="81">
        <v>44548</v>
      </c>
      <c r="H1247" s="82">
        <v>363.45</v>
      </c>
      <c r="I1247" s="166">
        <f t="shared" si="40"/>
        <v>8.6027473289855827E-3</v>
      </c>
    </row>
    <row r="1248" spans="1:9" ht="18">
      <c r="A1248" s="237">
        <v>44618</v>
      </c>
      <c r="B1248" s="238">
        <v>97.73</v>
      </c>
      <c r="C1248" s="47">
        <f t="shared" si="41"/>
        <v>5.1187551187559244E-4</v>
      </c>
      <c r="E1248" s="81"/>
      <c r="F1248" s="82"/>
      <c r="G1248" s="81">
        <v>44551</v>
      </c>
      <c r="H1248" s="82">
        <v>366.63</v>
      </c>
      <c r="I1248" s="166">
        <f t="shared" si="40"/>
        <v>8.749484110606609E-3</v>
      </c>
    </row>
    <row r="1249" spans="1:9" ht="18">
      <c r="A1249" s="237">
        <v>44621</v>
      </c>
      <c r="B1249" s="238">
        <v>96.99</v>
      </c>
      <c r="C1249" s="47">
        <f t="shared" si="41"/>
        <v>-7.5718817149289519E-3</v>
      </c>
      <c r="E1249" s="81"/>
      <c r="F1249" s="82"/>
      <c r="G1249" s="81">
        <v>44552</v>
      </c>
      <c r="H1249" s="82">
        <v>367.5</v>
      </c>
      <c r="I1249" s="166">
        <f t="shared" si="40"/>
        <v>2.3729645691841217E-3</v>
      </c>
    </row>
    <row r="1250" spans="1:9" ht="18">
      <c r="A1250" s="237">
        <v>44622</v>
      </c>
      <c r="B1250" s="238">
        <v>96.55</v>
      </c>
      <c r="C1250" s="47">
        <f t="shared" si="41"/>
        <v>-4.5365501598102487E-3</v>
      </c>
      <c r="E1250" s="81"/>
      <c r="F1250" s="82"/>
      <c r="G1250" s="81">
        <v>44553</v>
      </c>
      <c r="H1250" s="82">
        <v>368.01</v>
      </c>
      <c r="I1250" s="166">
        <f t="shared" si="40"/>
        <v>1.3877551020406997E-3</v>
      </c>
    </row>
    <row r="1251" spans="1:9" ht="18">
      <c r="A1251" s="237">
        <v>44623</v>
      </c>
      <c r="B1251" s="238">
        <v>96.87</v>
      </c>
      <c r="C1251" s="47">
        <f t="shared" si="41"/>
        <v>3.3143448990160529E-3</v>
      </c>
      <c r="E1251" s="81"/>
      <c r="F1251" s="82"/>
      <c r="G1251" s="81">
        <v>44554</v>
      </c>
      <c r="H1251" s="82">
        <v>367.91</v>
      </c>
      <c r="I1251" s="166">
        <f t="shared" si="40"/>
        <v>-2.7173174641981213E-4</v>
      </c>
    </row>
    <row r="1252" spans="1:9" ht="18">
      <c r="A1252" s="237">
        <v>44624</v>
      </c>
      <c r="B1252" s="238">
        <v>96.38</v>
      </c>
      <c r="C1252" s="47">
        <f t="shared" si="41"/>
        <v>-5.0583255909983915E-3</v>
      </c>
      <c r="E1252" s="81"/>
      <c r="F1252" s="82"/>
      <c r="G1252" s="81">
        <v>44555</v>
      </c>
      <c r="H1252" s="82">
        <v>368.38</v>
      </c>
      <c r="I1252" s="166">
        <f t="shared" si="40"/>
        <v>1.2774863417683857E-3</v>
      </c>
    </row>
    <row r="1253" spans="1:9" ht="18">
      <c r="A1253" s="237">
        <v>44625</v>
      </c>
      <c r="B1253" s="238">
        <v>95.75</v>
      </c>
      <c r="C1253" s="47">
        <f t="shared" si="41"/>
        <v>-6.5366258559866885E-3</v>
      </c>
      <c r="E1253" s="81"/>
      <c r="F1253" s="82"/>
      <c r="G1253" s="81">
        <v>44558</v>
      </c>
      <c r="H1253" s="82">
        <v>367.86</v>
      </c>
      <c r="I1253" s="166">
        <f t="shared" si="40"/>
        <v>-1.4115858624246247E-3</v>
      </c>
    </row>
    <row r="1254" spans="1:9" ht="18">
      <c r="A1254" s="237">
        <v>44628</v>
      </c>
      <c r="B1254" s="238">
        <v>95.96</v>
      </c>
      <c r="C1254" s="47">
        <f t="shared" si="41"/>
        <v>2.1932114882505793E-3</v>
      </c>
      <c r="E1254" s="81"/>
      <c r="F1254" s="82"/>
      <c r="G1254" s="81">
        <v>44559</v>
      </c>
      <c r="H1254" s="82">
        <v>368.49</v>
      </c>
      <c r="I1254" s="166">
        <f t="shared" si="40"/>
        <v>1.7126080574130231E-3</v>
      </c>
    </row>
    <row r="1255" spans="1:9" ht="18">
      <c r="A1255" s="237">
        <v>44629</v>
      </c>
      <c r="B1255" s="238">
        <v>95.95</v>
      </c>
      <c r="C1255" s="47">
        <f t="shared" si="41"/>
        <v>-1.0421008753636052E-4</v>
      </c>
      <c r="E1255" s="81"/>
      <c r="F1255" s="82"/>
      <c r="G1255" s="81">
        <v>44560</v>
      </c>
      <c r="H1255" s="82">
        <v>369.16</v>
      </c>
      <c r="I1255" s="166">
        <f t="shared" si="40"/>
        <v>1.8182311595973388E-3</v>
      </c>
    </row>
    <row r="1256" spans="1:9" ht="18">
      <c r="A1256" s="237">
        <v>44630</v>
      </c>
      <c r="B1256" s="238">
        <v>95.64</v>
      </c>
      <c r="C1256" s="47">
        <f t="shared" si="41"/>
        <v>-3.2308494007295963E-3</v>
      </c>
      <c r="E1256" s="81"/>
      <c r="F1256" s="82"/>
      <c r="G1256" s="81">
        <v>44561</v>
      </c>
      <c r="H1256" s="82">
        <v>369.42</v>
      </c>
      <c r="I1256" s="166">
        <f t="shared" si="40"/>
        <v>7.0430165781765197E-4</v>
      </c>
    </row>
    <row r="1257" spans="1:9" ht="18">
      <c r="A1257" s="237">
        <v>44631</v>
      </c>
      <c r="B1257" s="238">
        <v>94.84</v>
      </c>
      <c r="C1257" s="47">
        <f t="shared" si="41"/>
        <v>-8.3647009619405299E-3</v>
      </c>
      <c r="E1257" s="81"/>
      <c r="F1257" s="82"/>
      <c r="G1257" s="81">
        <v>44562</v>
      </c>
      <c r="H1257" s="82">
        <v>374.2</v>
      </c>
      <c r="I1257" s="166">
        <f t="shared" si="40"/>
        <v>1.2939201992312244E-2</v>
      </c>
    </row>
    <row r="1258" spans="1:9" ht="18">
      <c r="A1258" s="237">
        <v>44632</v>
      </c>
      <c r="B1258" s="238">
        <v>94.38</v>
      </c>
      <c r="C1258" s="47">
        <f t="shared" si="41"/>
        <v>-4.8502741459300891E-3</v>
      </c>
      <c r="E1258" s="81"/>
      <c r="F1258" s="82"/>
      <c r="G1258" s="81">
        <v>44565</v>
      </c>
      <c r="H1258" s="82">
        <v>377.64</v>
      </c>
      <c r="I1258" s="166">
        <f t="shared" si="40"/>
        <v>9.1929449492249571E-3</v>
      </c>
    </row>
    <row r="1259" spans="1:9" ht="18">
      <c r="A1259" s="237">
        <v>44635</v>
      </c>
      <c r="B1259" s="238">
        <v>94.75</v>
      </c>
      <c r="C1259" s="47">
        <f t="shared" si="41"/>
        <v>3.9203221021404389E-3</v>
      </c>
      <c r="E1259" s="81"/>
      <c r="F1259" s="82"/>
      <c r="G1259" s="81">
        <v>44566</v>
      </c>
      <c r="H1259" s="82">
        <v>381.41</v>
      </c>
      <c r="I1259" s="166">
        <f t="shared" si="40"/>
        <v>9.9830526427286959E-3</v>
      </c>
    </row>
    <row r="1260" spans="1:9" ht="18">
      <c r="A1260" s="237">
        <v>44636</v>
      </c>
      <c r="B1260" s="238">
        <v>95.1</v>
      </c>
      <c r="C1260" s="47">
        <f t="shared" si="41"/>
        <v>3.6939313984167832E-3</v>
      </c>
      <c r="E1260" s="81"/>
      <c r="F1260" s="82"/>
      <c r="G1260" s="81">
        <v>44567</v>
      </c>
      <c r="H1260" s="82">
        <v>380.47</v>
      </c>
      <c r="I1260" s="166">
        <f t="shared" si="40"/>
        <v>-2.4645394719593483E-3</v>
      </c>
    </row>
    <row r="1261" spans="1:9" ht="18">
      <c r="A1261" s="237">
        <v>44637</v>
      </c>
      <c r="B1261" s="238">
        <v>94.36</v>
      </c>
      <c r="C1261" s="47">
        <f t="shared" si="41"/>
        <v>-7.7812828601471207E-3</v>
      </c>
      <c r="E1261" s="81"/>
      <c r="F1261" s="82"/>
      <c r="G1261" s="81">
        <v>44568</v>
      </c>
      <c r="H1261" s="82">
        <v>377.63</v>
      </c>
      <c r="I1261" s="166">
        <f t="shared" si="40"/>
        <v>-7.4644518621705958E-3</v>
      </c>
    </row>
    <row r="1262" spans="1:9" ht="18">
      <c r="A1262" s="237">
        <v>44638</v>
      </c>
      <c r="B1262" s="238">
        <v>94.63</v>
      </c>
      <c r="C1262" s="47">
        <f t="shared" si="41"/>
        <v>2.8613819415006514E-3</v>
      </c>
      <c r="E1262" s="81"/>
      <c r="F1262" s="82"/>
      <c r="G1262" s="81">
        <v>44569</v>
      </c>
      <c r="H1262" s="82">
        <v>377.64</v>
      </c>
      <c r="I1262" s="166">
        <f t="shared" si="40"/>
        <v>2.6480946958562512E-5</v>
      </c>
    </row>
    <row r="1263" spans="1:9" ht="18">
      <c r="A1263" s="237">
        <v>44639</v>
      </c>
      <c r="B1263" s="238">
        <v>93.15</v>
      </c>
      <c r="C1263" s="47">
        <f t="shared" si="41"/>
        <v>-1.5639860509352066E-2</v>
      </c>
      <c r="E1263" s="81"/>
      <c r="F1263" s="82"/>
      <c r="G1263" s="81">
        <v>44572</v>
      </c>
      <c r="H1263" s="82">
        <v>381.67</v>
      </c>
      <c r="I1263" s="166">
        <f t="shared" si="40"/>
        <v>1.0671539031882338E-2</v>
      </c>
    </row>
    <row r="1264" spans="1:9" ht="18">
      <c r="A1264" s="237">
        <v>44642</v>
      </c>
      <c r="B1264" s="238">
        <v>94.06</v>
      </c>
      <c r="C1264" s="47">
        <f t="shared" si="41"/>
        <v>9.7691894793343614E-3</v>
      </c>
      <c r="E1264" s="81"/>
      <c r="F1264" s="82"/>
      <c r="G1264" s="81">
        <v>44573</v>
      </c>
      <c r="H1264" s="82">
        <v>382.51</v>
      </c>
      <c r="I1264" s="166">
        <f t="shared" si="40"/>
        <v>2.2008541410118987E-3</v>
      </c>
    </row>
    <row r="1265" spans="1:9" ht="18">
      <c r="A1265" s="237">
        <v>44643</v>
      </c>
      <c r="B1265" s="238">
        <v>93.58</v>
      </c>
      <c r="C1265" s="47">
        <f t="shared" si="41"/>
        <v>-5.1031256644695766E-3</v>
      </c>
      <c r="E1265" s="81"/>
      <c r="F1265" s="82"/>
      <c r="G1265" s="81">
        <v>44574</v>
      </c>
      <c r="H1265" s="82">
        <v>384.46</v>
      </c>
      <c r="I1265" s="166">
        <f t="shared" si="40"/>
        <v>5.0979059370996893E-3</v>
      </c>
    </row>
    <row r="1266" spans="1:9" ht="18">
      <c r="A1266" s="237">
        <v>44644</v>
      </c>
      <c r="B1266" s="238">
        <v>94.43</v>
      </c>
      <c r="C1266" s="47">
        <f t="shared" si="41"/>
        <v>9.0831374225261996E-3</v>
      </c>
      <c r="E1266" s="81"/>
      <c r="F1266" s="82"/>
      <c r="G1266" s="81">
        <v>44575</v>
      </c>
      <c r="H1266" s="82">
        <v>383.23</v>
      </c>
      <c r="I1266" s="166">
        <f t="shared" si="40"/>
        <v>-3.1992925141756112E-3</v>
      </c>
    </row>
    <row r="1267" spans="1:9" ht="18">
      <c r="A1267" s="237">
        <v>44645</v>
      </c>
      <c r="B1267" s="238">
        <v>93.46</v>
      </c>
      <c r="C1267" s="47">
        <f t="shared" si="41"/>
        <v>-1.0272159271418113E-2</v>
      </c>
      <c r="E1267" s="81"/>
      <c r="F1267" s="82"/>
      <c r="G1267" s="81">
        <v>44576</v>
      </c>
      <c r="H1267" s="82">
        <v>384.18</v>
      </c>
      <c r="I1267" s="166">
        <f t="shared" si="40"/>
        <v>2.4789291026277027E-3</v>
      </c>
    </row>
    <row r="1268" spans="1:9" ht="18">
      <c r="A1268" s="237">
        <v>44646</v>
      </c>
      <c r="B1268" s="238">
        <v>92.95</v>
      </c>
      <c r="C1268" s="47">
        <f t="shared" si="41"/>
        <v>-5.4568799486410802E-3</v>
      </c>
      <c r="E1268" s="81"/>
      <c r="F1268" s="82"/>
      <c r="G1268" s="81">
        <v>44579</v>
      </c>
      <c r="H1268" s="82">
        <v>384.03</v>
      </c>
      <c r="I1268" s="166">
        <f t="shared" si="40"/>
        <v>-3.9044198032178734E-4</v>
      </c>
    </row>
    <row r="1269" spans="1:9" ht="18">
      <c r="A1269" s="237">
        <v>44649</v>
      </c>
      <c r="B1269" s="238">
        <v>93.11</v>
      </c>
      <c r="C1269" s="47">
        <f t="shared" si="41"/>
        <v>1.7213555675092973E-3</v>
      </c>
      <c r="E1269" s="81"/>
      <c r="F1269" s="82"/>
      <c r="G1269" s="81">
        <v>44580</v>
      </c>
      <c r="H1269" s="82">
        <v>382.79</v>
      </c>
      <c r="I1269" s="166">
        <f t="shared" si="40"/>
        <v>-3.2289144077284337E-3</v>
      </c>
    </row>
    <row r="1270" spans="1:9" ht="18">
      <c r="A1270" s="237">
        <v>44650</v>
      </c>
      <c r="B1270" s="238">
        <v>93.93</v>
      </c>
      <c r="C1270" s="47">
        <f t="shared" si="41"/>
        <v>8.8067876704973624E-3</v>
      </c>
      <c r="E1270" s="81"/>
      <c r="F1270" s="82"/>
      <c r="G1270" s="81">
        <v>44581</v>
      </c>
      <c r="H1270" s="82">
        <v>381.97</v>
      </c>
      <c r="I1270" s="166">
        <f t="shared" si="40"/>
        <v>-2.1421667232686126E-3</v>
      </c>
    </row>
    <row r="1271" spans="1:9" ht="16">
      <c r="E1271" s="81"/>
      <c r="F1271" s="82"/>
      <c r="G1271" s="81">
        <v>44582</v>
      </c>
      <c r="H1271" s="82">
        <v>385.76</v>
      </c>
      <c r="I1271" s="166">
        <f t="shared" si="40"/>
        <v>9.922245202502733E-3</v>
      </c>
    </row>
    <row r="1272" spans="1:9" ht="16">
      <c r="E1272" s="81"/>
      <c r="F1272" s="82"/>
      <c r="G1272" s="81">
        <v>44583</v>
      </c>
      <c r="H1272" s="82">
        <v>386.73</v>
      </c>
      <c r="I1272" s="166">
        <f t="shared" si="40"/>
        <v>2.5145167980091809E-3</v>
      </c>
    </row>
    <row r="1273" spans="1:9" ht="16">
      <c r="E1273" s="81"/>
      <c r="F1273" s="82"/>
      <c r="G1273" s="81">
        <v>44586</v>
      </c>
      <c r="H1273" s="82">
        <v>388.37</v>
      </c>
      <c r="I1273" s="166">
        <f t="shared" si="40"/>
        <v>4.240684715434595E-3</v>
      </c>
    </row>
    <row r="1274" spans="1:9" ht="16">
      <c r="E1274" s="81"/>
      <c r="F1274" s="82"/>
      <c r="G1274" s="81">
        <v>44587</v>
      </c>
      <c r="H1274" s="82">
        <v>391.74</v>
      </c>
      <c r="I1274" s="166">
        <f t="shared" si="40"/>
        <v>8.6772922728326485E-3</v>
      </c>
    </row>
    <row r="1275" spans="1:9" ht="16">
      <c r="E1275" s="81"/>
      <c r="F1275" s="82"/>
      <c r="G1275" s="81">
        <v>44588</v>
      </c>
      <c r="H1275" s="82">
        <v>396.7</v>
      </c>
      <c r="I1275" s="166">
        <f t="shared" si="40"/>
        <v>1.2661459131056318E-2</v>
      </c>
    </row>
    <row r="1276" spans="1:9" ht="16">
      <c r="E1276" s="81"/>
      <c r="F1276" s="82"/>
      <c r="G1276" s="81">
        <v>44589</v>
      </c>
      <c r="H1276" s="82">
        <v>395.55</v>
      </c>
      <c r="I1276" s="166">
        <f t="shared" si="40"/>
        <v>-2.8989160574740547E-3</v>
      </c>
    </row>
    <row r="1277" spans="1:9" ht="16">
      <c r="E1277" s="81"/>
      <c r="F1277" s="82"/>
      <c r="G1277" s="81">
        <v>44590</v>
      </c>
      <c r="H1277" s="82">
        <v>389.25</v>
      </c>
      <c r="I1277" s="166">
        <f t="shared" si="40"/>
        <v>-1.5927189988623414E-2</v>
      </c>
    </row>
    <row r="1278" spans="1:9" ht="16">
      <c r="E1278" s="81"/>
      <c r="F1278" s="82"/>
      <c r="G1278" s="81">
        <v>44593</v>
      </c>
      <c r="H1278" s="82">
        <v>383.67</v>
      </c>
      <c r="I1278" s="166">
        <f t="shared" si="40"/>
        <v>-1.4335260115606929E-2</v>
      </c>
    </row>
    <row r="1279" spans="1:9" ht="16">
      <c r="E1279" s="81"/>
      <c r="F1279" s="82"/>
      <c r="G1279" s="81">
        <v>44594</v>
      </c>
      <c r="H1279" s="82">
        <v>390.54</v>
      </c>
      <c r="I1279" s="166">
        <f t="shared" si="40"/>
        <v>1.7906012979904684E-2</v>
      </c>
    </row>
    <row r="1280" spans="1:9" ht="16">
      <c r="E1280" s="81"/>
      <c r="F1280" s="82"/>
      <c r="G1280" s="81">
        <v>44595</v>
      </c>
      <c r="H1280" s="82">
        <v>389.73</v>
      </c>
      <c r="I1280" s="166">
        <f t="shared" si="40"/>
        <v>-2.0740513135658611E-3</v>
      </c>
    </row>
    <row r="1281" spans="5:9" ht="16">
      <c r="E1281" s="81"/>
      <c r="F1281" s="82"/>
      <c r="G1281" s="81">
        <v>44596</v>
      </c>
      <c r="H1281" s="82">
        <v>386.07</v>
      </c>
      <c r="I1281" s="166">
        <f t="shared" si="40"/>
        <v>-9.3911169271034822E-3</v>
      </c>
    </row>
    <row r="1282" spans="5:9" ht="16">
      <c r="E1282" s="81"/>
      <c r="F1282" s="82"/>
      <c r="G1282" s="81">
        <v>44597</v>
      </c>
      <c r="H1282" s="82">
        <v>385.95</v>
      </c>
      <c r="I1282" s="166">
        <f t="shared" si="40"/>
        <v>-3.1082446188512858E-4</v>
      </c>
    </row>
    <row r="1283" spans="5:9" ht="16">
      <c r="E1283" s="81"/>
      <c r="F1283" s="82"/>
      <c r="G1283" s="81">
        <v>44600</v>
      </c>
      <c r="H1283" s="82">
        <v>392.93</v>
      </c>
      <c r="I1283" s="166">
        <f t="shared" si="40"/>
        <v>1.8085244202616924E-2</v>
      </c>
    </row>
    <row r="1284" spans="5:9" ht="16">
      <c r="E1284" s="81"/>
      <c r="F1284" s="82"/>
      <c r="G1284" s="81">
        <v>44601</v>
      </c>
      <c r="H1284" s="82">
        <v>395.64</v>
      </c>
      <c r="I1284" s="166">
        <f t="shared" si="40"/>
        <v>6.8969027562160168E-3</v>
      </c>
    </row>
    <row r="1285" spans="5:9" ht="16">
      <c r="E1285" s="81"/>
      <c r="F1285" s="82"/>
      <c r="G1285" s="81">
        <v>44602</v>
      </c>
      <c r="H1285" s="82">
        <v>398.35</v>
      </c>
      <c r="I1285" s="166">
        <f t="shared" si="40"/>
        <v>6.8496613082600355E-3</v>
      </c>
    </row>
    <row r="1286" spans="5:9" ht="16">
      <c r="E1286" s="81"/>
      <c r="F1286" s="82"/>
      <c r="G1286" s="81">
        <v>44603</v>
      </c>
      <c r="H1286" s="82">
        <v>397.33</v>
      </c>
      <c r="I1286" s="166">
        <f t="shared" si="40"/>
        <v>-2.5605623195683602E-3</v>
      </c>
    </row>
    <row r="1287" spans="5:9" ht="16">
      <c r="E1287" s="81"/>
      <c r="F1287" s="82"/>
      <c r="G1287" s="81">
        <v>44604</v>
      </c>
      <c r="H1287" s="82">
        <v>393.19</v>
      </c>
      <c r="I1287" s="166">
        <f t="shared" si="40"/>
        <v>-1.0419550499584651E-2</v>
      </c>
    </row>
    <row r="1288" spans="5:9" ht="16">
      <c r="E1288" s="81"/>
      <c r="F1288" s="82"/>
      <c r="G1288" s="81">
        <v>44607</v>
      </c>
      <c r="H1288" s="82">
        <v>394.04</v>
      </c>
      <c r="I1288" s="166">
        <f t="shared" si="40"/>
        <v>2.1618047254507999E-3</v>
      </c>
    </row>
    <row r="1289" spans="5:9" ht="16">
      <c r="E1289" s="81"/>
      <c r="F1289" s="82"/>
      <c r="G1289" s="81">
        <v>44608</v>
      </c>
      <c r="H1289" s="82">
        <v>393.67</v>
      </c>
      <c r="I1289" s="166">
        <f t="shared" si="40"/>
        <v>-9.3899096538418991E-4</v>
      </c>
    </row>
    <row r="1290" spans="5:9" ht="16">
      <c r="E1290" s="81"/>
      <c r="F1290" s="82"/>
      <c r="G1290" s="81">
        <v>44609</v>
      </c>
      <c r="H1290" s="82">
        <v>395.04</v>
      </c>
      <c r="I1290" s="166">
        <f t="shared" si="40"/>
        <v>3.480072141641477E-3</v>
      </c>
    </row>
    <row r="1291" spans="5:9" ht="16">
      <c r="E1291" s="81"/>
      <c r="F1291" s="82"/>
      <c r="G1291" s="81">
        <v>44610</v>
      </c>
      <c r="H1291" s="82">
        <v>393.36</v>
      </c>
      <c r="I1291" s="166">
        <f t="shared" si="40"/>
        <v>-4.2527339003645137E-3</v>
      </c>
    </row>
    <row r="1292" spans="5:9" ht="16">
      <c r="E1292" s="81"/>
      <c r="F1292" s="82"/>
      <c r="G1292" s="81">
        <v>44611</v>
      </c>
      <c r="H1292" s="82">
        <v>392.77</v>
      </c>
      <c r="I1292" s="166">
        <f t="shared" si="40"/>
        <v>-1.4998983119789422E-3</v>
      </c>
    </row>
    <row r="1293" spans="5:9" ht="16">
      <c r="E1293" s="81"/>
      <c r="F1293" s="82"/>
      <c r="G1293" s="81">
        <v>44614</v>
      </c>
      <c r="H1293" s="82">
        <v>396.43</v>
      </c>
      <c r="I1293" s="166">
        <f t="shared" si="40"/>
        <v>9.3184306337041889E-3</v>
      </c>
    </row>
    <row r="1294" spans="5:9" ht="16">
      <c r="E1294" s="81"/>
      <c r="F1294" s="82"/>
      <c r="G1294" s="81">
        <v>44615</v>
      </c>
      <c r="H1294" s="82">
        <v>397.28</v>
      </c>
      <c r="I1294" s="166">
        <f t="shared" si="40"/>
        <v>2.14413641752631E-3</v>
      </c>
    </row>
    <row r="1295" spans="5:9" ht="16">
      <c r="E1295" s="81"/>
      <c r="F1295" s="82"/>
      <c r="G1295" s="81">
        <v>44616</v>
      </c>
      <c r="H1295" s="82">
        <v>401.3</v>
      </c>
      <c r="I1295" s="166">
        <f t="shared" ref="I1295:I1319" si="42">H1295/H1294-1</f>
        <v>1.011880789367714E-2</v>
      </c>
    </row>
    <row r="1296" spans="5:9" ht="16">
      <c r="E1296" s="81"/>
      <c r="F1296" s="82"/>
      <c r="G1296" s="81">
        <v>44617</v>
      </c>
      <c r="H1296" s="82">
        <v>399.35</v>
      </c>
      <c r="I1296" s="166">
        <f t="shared" si="42"/>
        <v>-4.8592075753799424E-3</v>
      </c>
    </row>
    <row r="1297" spans="5:9" ht="16">
      <c r="E1297" s="81"/>
      <c r="F1297" s="82"/>
      <c r="G1297" s="81">
        <v>44618</v>
      </c>
      <c r="H1297" s="82">
        <v>398.63</v>
      </c>
      <c r="I1297" s="166">
        <f t="shared" si="42"/>
        <v>-1.8029297608614936E-3</v>
      </c>
    </row>
    <row r="1298" spans="5:9" ht="16">
      <c r="E1298" s="81"/>
      <c r="F1298" s="82"/>
      <c r="G1298" s="81">
        <v>44621</v>
      </c>
      <c r="H1298" s="82">
        <v>391.13</v>
      </c>
      <c r="I1298" s="166">
        <f t="shared" si="42"/>
        <v>-1.8814439455133836E-2</v>
      </c>
    </row>
    <row r="1299" spans="5:9" ht="16">
      <c r="E1299" s="81"/>
      <c r="F1299" s="82"/>
      <c r="G1299" s="81">
        <v>44622</v>
      </c>
      <c r="H1299" s="82">
        <v>382.48</v>
      </c>
      <c r="I1299" s="166">
        <f t="shared" si="42"/>
        <v>-2.2115409198987468E-2</v>
      </c>
    </row>
    <row r="1300" spans="5:9" ht="16">
      <c r="E1300" s="81"/>
      <c r="F1300" s="82"/>
      <c r="G1300" s="81">
        <v>44623</v>
      </c>
      <c r="H1300" s="82">
        <v>375.36</v>
      </c>
      <c r="I1300" s="166">
        <f t="shared" si="42"/>
        <v>-1.8615352436728738E-2</v>
      </c>
    </row>
    <row r="1301" spans="5:9" ht="16">
      <c r="E1301" s="81"/>
      <c r="F1301" s="82"/>
      <c r="G1301" s="81">
        <v>44624</v>
      </c>
      <c r="H1301" s="82">
        <v>378</v>
      </c>
      <c r="I1301" s="166">
        <f t="shared" si="42"/>
        <v>7.033248081841359E-3</v>
      </c>
    </row>
    <row r="1302" spans="5:9" ht="16">
      <c r="E1302" s="81"/>
      <c r="F1302" s="82"/>
      <c r="G1302" s="81">
        <v>44625</v>
      </c>
      <c r="H1302" s="82">
        <v>377.69</v>
      </c>
      <c r="I1302" s="166">
        <f t="shared" si="42"/>
        <v>-8.20105820105832E-4</v>
      </c>
    </row>
    <row r="1303" spans="5:9" ht="16">
      <c r="E1303" s="81"/>
      <c r="F1303" s="82"/>
      <c r="G1303" s="81">
        <v>44628</v>
      </c>
      <c r="H1303" s="82">
        <v>369.57</v>
      </c>
      <c r="I1303" s="166">
        <f t="shared" si="42"/>
        <v>-2.149911302920382E-2</v>
      </c>
    </row>
    <row r="1304" spans="5:9" ht="16">
      <c r="E1304" s="81"/>
      <c r="F1304" s="82"/>
      <c r="G1304" s="81">
        <v>44629</v>
      </c>
      <c r="H1304" s="82">
        <v>378.51</v>
      </c>
      <c r="I1304" s="166">
        <f t="shared" si="42"/>
        <v>2.4190275184674093E-2</v>
      </c>
    </row>
    <row r="1305" spans="5:9" ht="16">
      <c r="E1305" s="81"/>
      <c r="F1305" s="82"/>
      <c r="G1305" s="81">
        <v>44630</v>
      </c>
      <c r="H1305" s="82">
        <v>381.01</v>
      </c>
      <c r="I1305" s="166">
        <f t="shared" si="42"/>
        <v>6.604845314522656E-3</v>
      </c>
    </row>
    <row r="1306" spans="5:9" ht="16">
      <c r="E1306" s="81"/>
      <c r="F1306" s="82"/>
      <c r="G1306" s="81">
        <v>44631</v>
      </c>
      <c r="H1306" s="82">
        <v>375.93</v>
      </c>
      <c r="I1306" s="166">
        <f t="shared" si="42"/>
        <v>-1.3332983386262764E-2</v>
      </c>
    </row>
    <row r="1307" spans="5:9" ht="16">
      <c r="E1307" s="81"/>
      <c r="F1307" s="82"/>
      <c r="G1307" s="81">
        <v>44632</v>
      </c>
      <c r="H1307" s="82">
        <v>371.08</v>
      </c>
      <c r="I1307" s="166">
        <f t="shared" si="42"/>
        <v>-1.2901338015056107E-2</v>
      </c>
    </row>
    <row r="1308" spans="5:9" ht="16">
      <c r="E1308" s="81"/>
      <c r="F1308" s="82"/>
      <c r="G1308" s="81">
        <v>44635</v>
      </c>
      <c r="H1308" s="82">
        <v>372.62</v>
      </c>
      <c r="I1308" s="166">
        <f t="shared" si="42"/>
        <v>4.1500485070604665E-3</v>
      </c>
    </row>
    <row r="1309" spans="5:9" ht="16">
      <c r="E1309" s="81"/>
      <c r="F1309" s="82"/>
      <c r="G1309" s="81">
        <v>44636</v>
      </c>
      <c r="H1309" s="82">
        <v>375.72</v>
      </c>
      <c r="I1309" s="166">
        <f t="shared" si="42"/>
        <v>8.3194675540765317E-3</v>
      </c>
    </row>
    <row r="1310" spans="5:9" ht="16">
      <c r="E1310" s="81"/>
      <c r="F1310" s="82"/>
      <c r="G1310" s="81">
        <v>44637</v>
      </c>
      <c r="H1310" s="82">
        <v>377.89</v>
      </c>
      <c r="I1310" s="166">
        <f t="shared" si="42"/>
        <v>5.7755775577557067E-3</v>
      </c>
    </row>
    <row r="1311" spans="5:9" ht="16">
      <c r="E1311" s="81"/>
      <c r="F1311" s="82"/>
      <c r="G1311" s="81">
        <v>44638</v>
      </c>
      <c r="H1311" s="82">
        <v>369.49</v>
      </c>
      <c r="I1311" s="166">
        <f t="shared" si="42"/>
        <v>-2.2228690888882907E-2</v>
      </c>
    </row>
    <row r="1312" spans="5:9" ht="16">
      <c r="E1312" s="81"/>
      <c r="F1312" s="82"/>
      <c r="G1312" s="81">
        <v>44639</v>
      </c>
      <c r="H1312" s="82">
        <v>366.02</v>
      </c>
      <c r="I1312" s="166">
        <f t="shared" si="42"/>
        <v>-9.3913231751875381E-3</v>
      </c>
    </row>
    <row r="1313" spans="5:9" ht="16">
      <c r="E1313" s="81"/>
      <c r="F1313" s="82"/>
      <c r="G1313" s="81">
        <v>44642</v>
      </c>
      <c r="H1313" s="82">
        <v>358.18</v>
      </c>
      <c r="I1313" s="166">
        <f t="shared" si="42"/>
        <v>-2.1419594557674393E-2</v>
      </c>
    </row>
    <row r="1314" spans="5:9" ht="16">
      <c r="E1314" s="81"/>
      <c r="F1314" s="82"/>
      <c r="G1314" s="81">
        <v>44643</v>
      </c>
      <c r="H1314" s="82">
        <v>362.05</v>
      </c>
      <c r="I1314" s="166">
        <f t="shared" si="42"/>
        <v>1.0804623373722677E-2</v>
      </c>
    </row>
    <row r="1315" spans="5:9" ht="16">
      <c r="E1315" s="81"/>
      <c r="F1315" s="82"/>
      <c r="G1315" s="81">
        <v>44644</v>
      </c>
      <c r="H1315" s="82">
        <v>369.98</v>
      </c>
      <c r="I1315" s="166">
        <f t="shared" si="42"/>
        <v>2.1903052064631945E-2</v>
      </c>
    </row>
    <row r="1316" spans="5:9" ht="16">
      <c r="G1316" s="81">
        <v>44645</v>
      </c>
      <c r="H1316" s="82">
        <v>365.8</v>
      </c>
      <c r="I1316" s="166">
        <f t="shared" si="42"/>
        <v>-1.1297907995026724E-2</v>
      </c>
    </row>
    <row r="1317" spans="5:9" ht="16">
      <c r="G1317" s="81">
        <v>44646</v>
      </c>
      <c r="H1317" s="82">
        <v>363.26</v>
      </c>
      <c r="I1317" s="166">
        <f t="shared" si="42"/>
        <v>-6.9436850738109346E-3</v>
      </c>
    </row>
    <row r="1318" spans="5:9" ht="16">
      <c r="G1318" s="81">
        <v>44649</v>
      </c>
      <c r="H1318" s="82">
        <v>358.51</v>
      </c>
      <c r="I1318" s="166">
        <f t="shared" si="42"/>
        <v>-1.3076033694874201E-2</v>
      </c>
    </row>
    <row r="1319" spans="5:9" ht="16">
      <c r="G1319" s="81">
        <v>44650</v>
      </c>
      <c r="H1319" s="82">
        <v>357.45</v>
      </c>
      <c r="I1319" s="166">
        <f t="shared" si="42"/>
        <v>-2.9566818219854962E-3</v>
      </c>
    </row>
  </sheetData>
  <mergeCells count="1">
    <mergeCell ref="J1:S7"/>
  </mergeCells>
  <hyperlinks>
    <hyperlink ref="H11" r:id="rId1" location="overview" xr:uid="{82A33D8C-0A76-2C42-BE3C-9D4206013352}"/>
    <hyperlink ref="B11" r:id="rId2" xr:uid="{DA542E30-C119-0747-9490-247A210036E6}"/>
  </hyperlinks>
  <pageMargins left="0.75" right="0.75" top="1" bottom="1" header="0.3" footer="0.3"/>
  <pageSetup orientation="portrait" horizontalDpi="0" verticalDpi="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E14"/>
  <sheetViews>
    <sheetView workbookViewId="0">
      <selection activeCell="D10" sqref="D10"/>
    </sheetView>
  </sheetViews>
  <sheetFormatPr baseColWidth="10" defaultRowHeight="13"/>
  <cols>
    <col min="1" max="1" width="22" bestFit="1" customWidth="1"/>
    <col min="2" max="2" width="23.5" bestFit="1" customWidth="1"/>
    <col min="3" max="3" width="25.1640625" bestFit="1" customWidth="1"/>
    <col min="4" max="4" width="24" bestFit="1" customWidth="1"/>
    <col min="5" max="5" width="23.5" bestFit="1" customWidth="1"/>
  </cols>
  <sheetData>
    <row r="3" spans="1:5">
      <c r="B3" s="22" t="s">
        <v>171</v>
      </c>
    </row>
    <row r="4" spans="1:5">
      <c r="A4" s="22" t="s">
        <v>168</v>
      </c>
      <c r="B4" t="s">
        <v>170</v>
      </c>
      <c r="C4" t="s">
        <v>172</v>
      </c>
      <c r="D4" t="s">
        <v>442</v>
      </c>
      <c r="E4" t="s">
        <v>444</v>
      </c>
    </row>
    <row r="5" spans="1:5">
      <c r="A5" s="198" t="s">
        <v>128</v>
      </c>
      <c r="B5" s="199">
        <v>6.0690535063463912E-2</v>
      </c>
      <c r="C5" s="199">
        <v>9.3122368092016169E-2</v>
      </c>
      <c r="D5" s="199">
        <v>0.14082236809201618</v>
      </c>
      <c r="E5" s="199">
        <v>0.27590666666666669</v>
      </c>
    </row>
    <row r="6" spans="1:5">
      <c r="A6" s="198" t="s">
        <v>129</v>
      </c>
      <c r="B6" s="199">
        <v>3.5533918688103711E-2</v>
      </c>
      <c r="C6" s="199">
        <v>5.4522548736226389E-2</v>
      </c>
      <c r="D6" s="199">
        <v>0.10222254873622638</v>
      </c>
      <c r="E6" s="199">
        <v>0.24047500000000002</v>
      </c>
    </row>
    <row r="7" spans="1:5">
      <c r="A7" s="198" t="s">
        <v>53</v>
      </c>
      <c r="B7" s="199">
        <v>1.427881008004587E-2</v>
      </c>
      <c r="C7" s="199">
        <v>2.1909126469219362E-2</v>
      </c>
      <c r="D7" s="199">
        <v>6.9609126469219365E-2</v>
      </c>
      <c r="E7" s="199">
        <v>0.26</v>
      </c>
    </row>
    <row r="8" spans="1:5">
      <c r="A8" s="198" t="s">
        <v>54</v>
      </c>
      <c r="B8" s="199">
        <v>3.4504017569405888E-2</v>
      </c>
      <c r="C8" s="199">
        <v>5.29422886351502E-2</v>
      </c>
      <c r="D8" s="199">
        <v>0.10064228863515022</v>
      </c>
      <c r="E8" s="199">
        <v>0.1771428571428571</v>
      </c>
    </row>
    <row r="9" spans="1:5">
      <c r="A9" s="198" t="s">
        <v>51</v>
      </c>
      <c r="B9" s="199">
        <v>4.9056588744742551E-2</v>
      </c>
      <c r="C9" s="199">
        <v>7.5271468766086078E-2</v>
      </c>
      <c r="D9" s="199">
        <v>0.12297146876608608</v>
      </c>
      <c r="E9" s="199">
        <v>0.27131578947368423</v>
      </c>
    </row>
    <row r="10" spans="1:5">
      <c r="A10" s="198" t="s">
        <v>125</v>
      </c>
      <c r="B10" s="199">
        <v>3.5586641298538169E-2</v>
      </c>
      <c r="C10" s="199">
        <v>5.4603445276856927E-2</v>
      </c>
      <c r="D10" s="199">
        <v>0.10230344527685691</v>
      </c>
      <c r="E10" s="199">
        <v>0.16423076923076924</v>
      </c>
    </row>
    <row r="11" spans="1:5">
      <c r="A11" s="198" t="s">
        <v>127</v>
      </c>
      <c r="B11" s="199">
        <v>3.3137560947819791E-2</v>
      </c>
      <c r="C11" s="199">
        <v>5.0845624363463501E-2</v>
      </c>
      <c r="D11" s="199">
        <v>9.8545624363463508E-2</v>
      </c>
      <c r="E11" s="199">
        <v>0.14683076923076924</v>
      </c>
    </row>
    <row r="12" spans="1:5">
      <c r="A12" s="198" t="s">
        <v>130</v>
      </c>
      <c r="B12" s="199">
        <v>1.3065858634629729E-3</v>
      </c>
      <c r="C12" s="199">
        <v>1.3065858634629729E-3</v>
      </c>
      <c r="D12" s="199">
        <v>4.9000000000000002E-2</v>
      </c>
      <c r="E12" s="199">
        <v>0.25570000000000004</v>
      </c>
    </row>
    <row r="13" spans="1:5">
      <c r="A13" s="198" t="s">
        <v>126</v>
      </c>
      <c r="B13" s="199">
        <v>7.0622409897413913E-3</v>
      </c>
      <c r="C13" s="199">
        <v>1.0836164227478264E-2</v>
      </c>
      <c r="D13" s="199">
        <v>5.8536164227478274E-2</v>
      </c>
      <c r="E13" s="199">
        <v>0.19943076923076927</v>
      </c>
    </row>
    <row r="14" spans="1:5">
      <c r="A14" s="19" t="s">
        <v>169</v>
      </c>
      <c r="B14" s="23">
        <v>3.6138664753657221E-2</v>
      </c>
      <c r="C14" s="23">
        <v>5.5441564807961592E-2</v>
      </c>
      <c r="D14" s="23">
        <v>0.10314148091161188</v>
      </c>
      <c r="E14" s="23">
        <v>0.21871974522292992</v>
      </c>
    </row>
  </sheetData>
  <pageMargins left="0.75" right="0.75" top="1" bottom="1" header="0.5" footer="0.5"/>
  <pageSetup orientation="portrait" horizontalDpi="0" verticalDpi="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98"/>
  <sheetViews>
    <sheetView topLeftCell="A152" zoomScaleNormal="100" workbookViewId="0">
      <selection activeCell="D140" sqref="D140"/>
    </sheetView>
  </sheetViews>
  <sheetFormatPr baseColWidth="10" defaultRowHeight="13"/>
  <cols>
    <col min="1" max="1" width="24.6640625" bestFit="1" customWidth="1"/>
    <col min="2" max="2" width="20.83203125" style="25" bestFit="1" customWidth="1"/>
    <col min="3" max="6" width="20.83203125" style="25" customWidth="1"/>
    <col min="7" max="7" width="26.1640625" style="25" customWidth="1"/>
    <col min="8" max="8" width="37" customWidth="1"/>
    <col min="9" max="9" width="20.83203125" customWidth="1"/>
    <col min="10" max="10" width="25.1640625" bestFit="1" customWidth="1"/>
    <col min="11" max="11" width="23.6640625" bestFit="1" customWidth="1"/>
    <col min="12" max="13" width="20.33203125" bestFit="1" customWidth="1"/>
  </cols>
  <sheetData>
    <row r="1" spans="1:13" s="59" customFormat="1" ht="16">
      <c r="A1" s="51" t="s">
        <v>75</v>
      </c>
      <c r="B1" s="119" t="str">
        <f>'Country GDP'!B1</f>
        <v>GDP (in millions) in 2024</v>
      </c>
      <c r="C1" s="9" t="str">
        <f>'Sovereign Ratings (Moody''s,S&amp;P)'!D1</f>
        <v>Moody's rating</v>
      </c>
      <c r="D1" s="51" t="s">
        <v>36</v>
      </c>
      <c r="E1" s="51" t="s">
        <v>434</v>
      </c>
      <c r="F1" s="52" t="s">
        <v>37</v>
      </c>
      <c r="G1" s="52" t="s">
        <v>347</v>
      </c>
      <c r="H1" s="51" t="s">
        <v>52</v>
      </c>
      <c r="I1" s="59" t="s">
        <v>290</v>
      </c>
      <c r="J1" s="59" t="s">
        <v>295</v>
      </c>
      <c r="K1" s="59" t="s">
        <v>291</v>
      </c>
      <c r="L1" s="59" t="s">
        <v>292</v>
      </c>
      <c r="M1" s="59" t="s">
        <v>348</v>
      </c>
    </row>
    <row r="2" spans="1:13" s="38" customFormat="1" ht="16">
      <c r="A2" s="8" t="str">
        <f>'Sovereign Ratings (Moody''s,S&amp;P)'!A5</f>
        <v>Angola</v>
      </c>
      <c r="B2" s="119">
        <f>VLOOKUP(A2,'Country GDP'!$A$2:$B$181,2,FALSE)</f>
        <v>100998.91678107891</v>
      </c>
      <c r="C2" s="9" t="str">
        <f>VLOOKUP(A2,'Sovereign Ratings (Moody''s,S&amp;P)'!$A$2:$D$158,4,FALSE)</f>
        <v>B3</v>
      </c>
      <c r="D2" s="21">
        <f>VLOOKUP(A2,'ERPs by country'!$A$9:$F$165,4,FALSE)</f>
        <v>6.1849989354559008E-2</v>
      </c>
      <c r="E2" s="10">
        <f>VLOOKUP(A2,'ERPs by country'!$A$9:$F$165,5,FALSE)</f>
        <v>0.14260141204291102</v>
      </c>
      <c r="F2" s="14">
        <f>VLOOKUP(A2,'ERPs by country'!$A$9:$F$165,6,FALSE)</f>
        <v>9.4901412042911026E-2</v>
      </c>
      <c r="G2" s="14">
        <f>VLOOKUP(A2,'Country Tax Rates'!$A$2:$B$159,2,FALSE)</f>
        <v>0.25</v>
      </c>
      <c r="H2" s="15" t="str">
        <f>VLOOKUP(A2,'Regional lookup table'!$A$2:$B$162,2,FALSE)</f>
        <v>Africa</v>
      </c>
      <c r="I2" s="60">
        <f t="shared" ref="I2:I29" si="0">B2/$B$32</f>
        <v>4.3145792445881036E-2</v>
      </c>
      <c r="J2" s="60">
        <f t="shared" ref="J2:J29" si="1">I2*D2</f>
        <v>2.6685668034717547E-3</v>
      </c>
      <c r="K2" s="60">
        <f t="shared" ref="K2:K29" si="2">I2*E2</f>
        <v>6.1526509264929995E-3</v>
      </c>
      <c r="L2" s="60">
        <f t="shared" ref="L2:L29" si="3">I2*F2</f>
        <v>4.0945966268244741E-3</v>
      </c>
      <c r="M2" s="60">
        <f>I2*G2</f>
        <v>1.0786448111470259E-2</v>
      </c>
    </row>
    <row r="3" spans="1:13" s="38" customFormat="1" ht="16">
      <c r="A3" s="8" t="str">
        <f>'Sovereign Ratings (Moody''s,S&amp;P)'!A19</f>
        <v>Benin</v>
      </c>
      <c r="B3" s="119">
        <f>VLOOKUP(A3,'Country GDP'!$A$2:$B$181,2,FALSE)</f>
        <v>21482.643706424849</v>
      </c>
      <c r="C3" s="9" t="str">
        <f>VLOOKUP(A3,'Sovereign Ratings (Moody''s,S&amp;P)'!$A$2:$D$158,4,FALSE)</f>
        <v>B1</v>
      </c>
      <c r="D3" s="21">
        <f>VLOOKUP(A3,'ERPs by country'!$A$9:$F$165,4,FALSE)</f>
        <v>4.2836430240137613E-2</v>
      </c>
      <c r="E3" s="10">
        <f>VLOOKUP(A3,'ERPs by country'!$A$9:$F$165,5,FALSE)</f>
        <v>0.1134273794076581</v>
      </c>
      <c r="F3" s="14">
        <f>VLOOKUP(A3,'ERPs by country'!$A$9:$F$165,6,FALSE)</f>
        <v>6.572737940765809E-2</v>
      </c>
      <c r="G3" s="14">
        <f>VLOOKUP(A3,'Country Tax Rates'!$A$2:$B$159,2,FALSE)</f>
        <v>0.3</v>
      </c>
      <c r="H3" s="15" t="str">
        <f>VLOOKUP(A3,'Regional lookup table'!$A$2:$B$162,2,FALSE)</f>
        <v>Africa</v>
      </c>
      <c r="I3" s="60">
        <f>B3/$B$32</f>
        <v>9.1771844301587729E-3</v>
      </c>
      <c r="J3" s="60">
        <f>I3*D3</f>
        <v>3.9311782064337331E-4</v>
      </c>
      <c r="K3" s="60">
        <f>I3*E3</f>
        <v>1.0409439802536718E-3</v>
      </c>
      <c r="L3" s="60">
        <f>I3*F3</f>
        <v>6.0319228293509821E-4</v>
      </c>
      <c r="M3" s="60">
        <f>I3*G3</f>
        <v>2.7531553290476318E-3</v>
      </c>
    </row>
    <row r="4" spans="1:13" s="38" customFormat="1" ht="16">
      <c r="A4" s="8" t="str">
        <f>'Sovereign Ratings (Moody''s,S&amp;P)'!A23</f>
        <v>Botswana</v>
      </c>
      <c r="B4" s="119">
        <f>VLOOKUP(A4,'Country GDP'!$A$2:$B$181,2,FALSE)</f>
        <v>19402.06351290664</v>
      </c>
      <c r="C4" s="9" t="str">
        <f>VLOOKUP(A4,'Sovereign Ratings (Moody''s,S&amp;P)'!$A$2:$D$158,4,FALSE)</f>
        <v>Baa1</v>
      </c>
      <c r="D4" s="21">
        <f>VLOOKUP(A4,'ERPs by country'!$A$9:$F$165,4,FALSE)</f>
        <v>1.5210847291537115E-2</v>
      </c>
      <c r="E4" s="10">
        <f>VLOOKUP(A4,'ERPs by country'!$A$9:$F$165,5,FALSE)</f>
        <v>7.1039226108202347E-2</v>
      </c>
      <c r="F4" s="14">
        <f>VLOOKUP(A4,'ERPs by country'!$A$9:$F$165,6,FALSE)</f>
        <v>2.3339226108202347E-2</v>
      </c>
      <c r="G4" s="14">
        <f>VLOOKUP(A4,'Country Tax Rates'!$A$2:$B$159,2,FALSE)</f>
        <v>0.22</v>
      </c>
      <c r="H4" s="15" t="str">
        <f>VLOOKUP(A4,'Regional lookup table'!$A$2:$B$162,2,FALSE)</f>
        <v>Africa</v>
      </c>
      <c r="I4" s="60">
        <f t="shared" si="0"/>
        <v>8.288380034452968E-3</v>
      </c>
      <c r="J4" s="60">
        <f t="shared" si="1"/>
        <v>1.2607328299828923E-4</v>
      </c>
      <c r="K4" s="60">
        <f t="shared" si="2"/>
        <v>5.888001033382144E-4</v>
      </c>
      <c r="L4" s="60">
        <f t="shared" si="3"/>
        <v>1.9344437569480778E-4</v>
      </c>
      <c r="M4" s="60">
        <f t="shared" ref="M4:M77" si="4">I4*G4</f>
        <v>1.8234436075796529E-3</v>
      </c>
    </row>
    <row r="5" spans="1:13" s="38" customFormat="1" ht="16">
      <c r="A5" s="8" t="str">
        <f>'Sovereign Ratings (Moody''s,S&amp;P)'!A26</f>
        <v>Burkina Faso</v>
      </c>
      <c r="B5" s="119">
        <f>VLOOKUP(A5,'Country GDP'!$A$2:$B$181,2,FALSE)</f>
        <v>23124.729853021799</v>
      </c>
      <c r="C5" s="9" t="str">
        <f>VLOOKUP(A5,'Sovereign Ratings (Moody''s,S&amp;P)'!$A$2:$D$158,4,FALSE)</f>
        <v>Caa1</v>
      </c>
      <c r="D5" s="21">
        <f>VLOOKUP(A5,'ERPs by country'!$A$9:$F$165,4,FALSE)</f>
        <v>7.1356768911769716E-2</v>
      </c>
      <c r="E5" s="10">
        <f>VLOOKUP(A5,'ERPs by country'!$A$9:$F$165,5,FALSE)</f>
        <v>0.15718842836053751</v>
      </c>
      <c r="F5" s="14">
        <f>VLOOKUP(A5,'ERPs by country'!$A$9:$F$165,6,FALSE)</f>
        <v>0.10948842836053752</v>
      </c>
      <c r="G5" s="14">
        <f>VLOOKUP(A5,'Country Tax Rates'!$A$2:$B$159,2,FALSE)</f>
        <v>0.27500000000000002</v>
      </c>
      <c r="H5" s="15" t="str">
        <f>VLOOKUP(A5,'Regional lookup table'!$A$2:$B$162,2,FALSE)</f>
        <v>Africa</v>
      </c>
      <c r="I5" s="60">
        <f t="shared" si="0"/>
        <v>9.8786682709498409E-3</v>
      </c>
      <c r="J5" s="60">
        <f t="shared" si="1"/>
        <v>7.0490984896619951E-4</v>
      </c>
      <c r="K5" s="60">
        <f t="shared" si="2"/>
        <v>1.5528123398057139E-3</v>
      </c>
      <c r="L5" s="60">
        <f t="shared" si="3"/>
        <v>1.0815998632814066E-3</v>
      </c>
      <c r="M5" s="60">
        <f t="shared" si="4"/>
        <v>2.7166337745112065E-3</v>
      </c>
    </row>
    <row r="6" spans="1:13" s="38" customFormat="1" ht="16">
      <c r="A6" s="8" t="str">
        <f>'Sovereign Ratings (Moody''s,S&amp;P)'!A28</f>
        <v>Cameroon</v>
      </c>
      <c r="B6" s="119">
        <f>VLOOKUP(A6,'Country GDP'!$A$2:$B$181,2,FALSE)</f>
        <v>53296.69432020565</v>
      </c>
      <c r="C6" s="9" t="str">
        <f>VLOOKUP(A6,'Sovereign Ratings (Moody''s,S&amp;P)'!$A$2:$D$158,4,FALSE)</f>
        <v>Caa1</v>
      </c>
      <c r="D6" s="21">
        <f>VLOOKUP(A6,'ERPs by country'!$A$9:$F$165,4,FALSE)</f>
        <v>7.1356768911769716E-2</v>
      </c>
      <c r="E6" s="10">
        <f>VLOOKUP(A6,'ERPs by country'!$A$9:$F$165,5,FALSE)</f>
        <v>0.15718842836053751</v>
      </c>
      <c r="F6" s="14">
        <f>VLOOKUP(A6,'ERPs by country'!$A$9:$F$165,6,FALSE)</f>
        <v>0.10948842836053752</v>
      </c>
      <c r="G6" s="14">
        <f>VLOOKUP(A6,'Country Tax Rates'!$A$2:$B$159,2,FALSE)</f>
        <v>0.33</v>
      </c>
      <c r="H6" s="15" t="str">
        <f>VLOOKUP(A6,'Regional lookup table'!$A$2:$B$162,2,FALSE)</f>
        <v>Africa</v>
      </c>
      <c r="I6" s="60">
        <f t="shared" si="0"/>
        <v>2.2767849245111431E-2</v>
      </c>
      <c r="J6" s="60">
        <f t="shared" si="1"/>
        <v>1.6246401572014269E-3</v>
      </c>
      <c r="K6" s="60">
        <f t="shared" si="2"/>
        <v>3.5788424399887161E-3</v>
      </c>
      <c r="L6" s="60">
        <f t="shared" si="3"/>
        <v>2.4928160309969009E-3</v>
      </c>
      <c r="M6" s="60">
        <f t="shared" si="4"/>
        <v>7.5133902508867723E-3</v>
      </c>
    </row>
    <row r="7" spans="1:13" s="38" customFormat="1" ht="16">
      <c r="A7" s="8" t="str">
        <f>'Sovereign Ratings (Moody''s,S&amp;P)'!A30</f>
        <v>Cape Verde</v>
      </c>
      <c r="B7" s="119">
        <f>VLOOKUP(A7,'Country GDP'!$A$2:$B$181,2,FALSE)</f>
        <v>2725.4141507273494</v>
      </c>
      <c r="C7" s="9" t="str">
        <f>VLOOKUP(A7,'Sovereign Ratings (Moody''s,S&amp;P)'!$A$2:$D$158,4,FALSE)</f>
        <v>B2</v>
      </c>
      <c r="D7" s="21">
        <f>VLOOKUP(A7,'ERPs by country'!$A$9:$F$165,4,FALSE)</f>
        <v>5.2343209797348314E-2</v>
      </c>
      <c r="E7" s="10">
        <f>VLOOKUP(A7,'ERPs by country'!$A$9:$F$165,5,FALSE)</f>
        <v>0.12801439572528456</v>
      </c>
      <c r="F7" s="14">
        <f>VLOOKUP(A7,'ERPs by country'!$A$9:$F$165,6,FALSE)</f>
        <v>8.0314395725284565E-2</v>
      </c>
      <c r="G7" s="14">
        <f>VLOOKUP(A7,'Country Tax Rates'!$A$2:$B$159,2,FALSE)</f>
        <v>0.26860000000000001</v>
      </c>
      <c r="H7" s="15" t="str">
        <f>VLOOKUP(A7,'Regional lookup table'!$A$2:$B$162,2,FALSE)</f>
        <v>Africa</v>
      </c>
      <c r="I7" s="60">
        <f t="shared" si="0"/>
        <v>1.1642714300712047E-3</v>
      </c>
      <c r="J7" s="60">
        <f t="shared" si="1"/>
        <v>6.0941703725275811E-5</v>
      </c>
      <c r="K7" s="60">
        <f t="shared" si="2"/>
        <v>1.4904350358077817E-4</v>
      </c>
      <c r="L7" s="60">
        <f t="shared" si="3"/>
        <v>9.3507756366381715E-5</v>
      </c>
      <c r="M7" s="60">
        <f t="shared" si="4"/>
        <v>3.1272330611712557E-4</v>
      </c>
    </row>
    <row r="8" spans="1:13" s="38" customFormat="1" ht="16">
      <c r="A8" s="8" t="str">
        <f>'Sovereign Ratings (Moody''s,S&amp;P)'!A35</f>
        <v>Congo (Democratic Republic of)</v>
      </c>
      <c r="B8" s="119">
        <f>VLOOKUP(A8,'Country GDP'!$A$2:$B$181,2,FALSE)</f>
        <v>70962.185790709351</v>
      </c>
      <c r="C8" s="9" t="str">
        <f>VLOOKUP(A8,'Sovereign Ratings (Moody''s,S&amp;P)'!$A$2:$D$158,4,FALSE)</f>
        <v>B3</v>
      </c>
      <c r="D8" s="21">
        <f>VLOOKUP(A8,'ERPs by country'!$A$9:$F$165,4,FALSE)</f>
        <v>6.1849989354559008E-2</v>
      </c>
      <c r="E8" s="10">
        <f>VLOOKUP(A8,'ERPs by country'!$A$9:$F$165,5,FALSE)</f>
        <v>0.14260141204291102</v>
      </c>
      <c r="F8" s="14">
        <f>VLOOKUP(A8,'ERPs by country'!$A$9:$F$165,6,FALSE)</f>
        <v>9.4901412042911026E-2</v>
      </c>
      <c r="G8" s="14">
        <f>VLOOKUP(A8,'Country Tax Rates'!$A$2:$B$159,2,FALSE)</f>
        <v>0.3</v>
      </c>
      <c r="H8" s="15" t="str">
        <f>VLOOKUP(A8,'Regional lookup table'!$A$2:$B$162,2,FALSE)</f>
        <v>Africa</v>
      </c>
      <c r="I8" s="60">
        <f t="shared" si="0"/>
        <v>3.0314381947961398E-2</v>
      </c>
      <c r="J8" s="60">
        <f t="shared" si="1"/>
        <v>1.8749442007714482E-3</v>
      </c>
      <c r="K8" s="60">
        <f t="shared" si="2"/>
        <v>4.3228736709874267E-3</v>
      </c>
      <c r="L8" s="60">
        <f t="shared" si="3"/>
        <v>2.8768776520696686E-3</v>
      </c>
      <c r="M8" s="60">
        <f t="shared" si="4"/>
        <v>9.0943145843884188E-3</v>
      </c>
    </row>
    <row r="9" spans="1:13" s="38" customFormat="1" ht="16">
      <c r="A9" s="8" t="str">
        <f>'Sovereign Ratings (Moody''s,S&amp;P)'!A36</f>
        <v>Congo (Republic of)</v>
      </c>
      <c r="B9" s="119">
        <f>VLOOKUP(A9,'Country GDP'!$A$2:$B$181,2,FALSE)</f>
        <v>15719.986076646381</v>
      </c>
      <c r="C9" s="9" t="str">
        <f>VLOOKUP(A9,'Sovereign Ratings (Moody''s,S&amp;P)'!$A$2:$D$158,4,FALSE)</f>
        <v>Caa2</v>
      </c>
      <c r="D9" s="21">
        <f>VLOOKUP(A9,'ERPs by country'!$A$9:$F$165,4,FALSE)</f>
        <v>8.5672860480275226E-2</v>
      </c>
      <c r="E9" s="10">
        <f>VLOOKUP(A9,'ERPs by country'!$A$9:$F$165,5,FALSE)</f>
        <v>0.17915475881531617</v>
      </c>
      <c r="F9" s="14">
        <f>VLOOKUP(A9,'ERPs by country'!$A$9:$F$165,6,FALSE)</f>
        <v>0.13145475881531618</v>
      </c>
      <c r="G9" s="14">
        <f>VLOOKUP(A9,'Country Tax Rates'!$A$2:$B$159,2,FALSE)</f>
        <v>0.26860000000000001</v>
      </c>
      <c r="H9" s="15" t="str">
        <f>VLOOKUP(A9,'Regional lookup table'!$A$2:$B$162,2,FALSE)</f>
        <v>Africa</v>
      </c>
      <c r="I9" s="60">
        <f t="shared" si="0"/>
        <v>6.7154309979905423E-3</v>
      </c>
      <c r="J9" s="60">
        <f t="shared" si="1"/>
        <v>5.7533018295575914E-4</v>
      </c>
      <c r="K9" s="60">
        <f t="shared" si="2"/>
        <v>1.2031014207858936E-3</v>
      </c>
      <c r="L9" s="60">
        <f t="shared" si="3"/>
        <v>8.827753621817448E-4</v>
      </c>
      <c r="M9" s="60">
        <f t="shared" si="4"/>
        <v>1.8037647660602597E-3</v>
      </c>
    </row>
    <row r="10" spans="1:13" s="38" customFormat="1" ht="16">
      <c r="A10" s="8" t="str">
        <f>'Sovereign Ratings (Moody''s,S&amp;P)'!A39</f>
        <v>Côte d'Ivoire</v>
      </c>
      <c r="B10" s="119">
        <f>VLOOKUP(A10,'Country GDP'!$A$2:$B$181,2,FALSE)</f>
        <v>87113.179149284013</v>
      </c>
      <c r="C10" s="9" t="str">
        <f>VLOOKUP(A10,'Sovereign Ratings (Moody''s,S&amp;P)'!$A$2:$D$158,4,FALSE)</f>
        <v>Ba2</v>
      </c>
      <c r="D10" s="21">
        <f>VLOOKUP(A10,'ERPs by country'!$A$9:$F$165,4,FALSE)</f>
        <v>2.863218313701105E-2</v>
      </c>
      <c r="E10" s="10">
        <f>VLOOKUP(A10,'ERPs by country'!$A$9:$F$165,5,FALSE)</f>
        <v>9.1632660909557379E-2</v>
      </c>
      <c r="F10" s="14">
        <f>VLOOKUP(A10,'ERPs by country'!$A$9:$F$165,6,FALSE)</f>
        <v>4.3932660909557379E-2</v>
      </c>
      <c r="G10" s="14">
        <f>VLOOKUP(A10,'Country Tax Rates'!$A$2:$B$159,2,FALSE)</f>
        <v>0.25</v>
      </c>
      <c r="H10" s="15" t="str">
        <f>VLOOKUP(A10,'Regional lookup table'!$A$2:$B$162,2,FALSE)</f>
        <v>Africa</v>
      </c>
      <c r="I10" s="60">
        <f t="shared" si="0"/>
        <v>3.7213935224897257E-2</v>
      </c>
      <c r="J10" s="60">
        <f t="shared" si="1"/>
        <v>1.0655162086081248E-3</v>
      </c>
      <c r="K10" s="60">
        <f t="shared" si="2"/>
        <v>3.4100119075732432E-3</v>
      </c>
      <c r="L10" s="60">
        <f t="shared" si="3"/>
        <v>1.6349071973456441E-3</v>
      </c>
      <c r="M10" s="60">
        <f t="shared" si="4"/>
        <v>9.3034838062243143E-3</v>
      </c>
    </row>
    <row r="11" spans="1:13" s="38" customFormat="1" ht="16">
      <c r="A11" s="8" t="str">
        <f>'Sovereign Ratings (Moody''s,S&amp;P)'!A48</f>
        <v>Egypt</v>
      </c>
      <c r="B11" s="119">
        <f>VLOOKUP(A11,'Country GDP'!$A$2:$B$181,2,FALSE)</f>
        <v>389059.91100356571</v>
      </c>
      <c r="C11" s="9" t="str">
        <f>VLOOKUP(A11,'Sovereign Ratings (Moody''s,S&amp;P)'!$A$2:$D$158,4,FALSE)</f>
        <v>Caa1</v>
      </c>
      <c r="D11" s="21">
        <f>VLOOKUP(A11,'ERPs by country'!$A$9:$F$165,4,FALSE)</f>
        <v>7.1356768911769716E-2</v>
      </c>
      <c r="E11" s="10">
        <f>VLOOKUP(A11,'ERPs by country'!$A$9:$F$165,5,FALSE)</f>
        <v>0.15718842836053751</v>
      </c>
      <c r="F11" s="14">
        <f>VLOOKUP(A11,'ERPs by country'!$A$9:$F$165,6,FALSE)</f>
        <v>0.10948842836053752</v>
      </c>
      <c r="G11" s="14">
        <f>VLOOKUP(A11,'Country Tax Rates'!$A$2:$B$159,2,FALSE)</f>
        <v>0.22500000000000001</v>
      </c>
      <c r="H11" s="15" t="str">
        <f>VLOOKUP(A11,'Regional lookup table'!$A$2:$B$162,2,FALSE)</f>
        <v>Africa</v>
      </c>
      <c r="I11" s="60">
        <f t="shared" si="0"/>
        <v>0.16620275448654645</v>
      </c>
      <c r="J11" s="60">
        <f t="shared" si="1"/>
        <v>1.1859691544396093E-2</v>
      </c>
      <c r="K11" s="60">
        <f t="shared" si="2"/>
        <v>2.6125149766932511E-2</v>
      </c>
      <c r="L11" s="60">
        <f t="shared" si="3"/>
        <v>1.8197278377924245E-2</v>
      </c>
      <c r="M11" s="60">
        <f t="shared" si="4"/>
        <v>3.7395619759472955E-2</v>
      </c>
    </row>
    <row r="12" spans="1:13" s="38" customFormat="1" ht="16">
      <c r="A12" s="8" t="str">
        <f>'Sovereign Ratings (Moody''s,S&amp;P)'!A51</f>
        <v>Ethiopia</v>
      </c>
      <c r="B12" s="119">
        <f>VLOOKUP(A12,'Country GDP'!$A$2:$B$181,2,FALSE)</f>
        <v>149740.29795298603</v>
      </c>
      <c r="C12" s="9" t="str">
        <f>VLOOKUP(A12,'Sovereign Ratings (Moody''s,S&amp;P)'!$A$2:$D$158,4,FALSE)</f>
        <v>Caa2</v>
      </c>
      <c r="D12" s="21">
        <f>VLOOKUP(A12,'ERPs by country'!$A$9:$F$165,4,FALSE)</f>
        <v>8.5672860480275226E-2</v>
      </c>
      <c r="E12" s="10">
        <f>VLOOKUP(A12,'ERPs by country'!$A$9:$F$165,5,FALSE)</f>
        <v>0.17915475881531617</v>
      </c>
      <c r="F12" s="14">
        <f>VLOOKUP(A12,'ERPs by country'!$A$9:$F$165,6,FALSE)</f>
        <v>0.13145475881531618</v>
      </c>
      <c r="G12" s="14">
        <f>VLOOKUP(A12,'Country Tax Rates'!$A$2:$B$159,2,FALSE)</f>
        <v>0.3</v>
      </c>
      <c r="H12" s="15" t="str">
        <f>VLOOKUP(A12,'Regional lookup table'!$A$2:$B$162,2,FALSE)</f>
        <v>Africa</v>
      </c>
      <c r="I12" s="60">
        <f t="shared" si="0"/>
        <v>6.3967654527105358E-2</v>
      </c>
      <c r="J12" s="60">
        <f t="shared" si="1"/>
        <v>5.4802919415511435E-3</v>
      </c>
      <c r="K12" s="60">
        <f t="shared" si="2"/>
        <v>1.1460109718785028E-2</v>
      </c>
      <c r="L12" s="60">
        <f t="shared" si="3"/>
        <v>8.4088525978421036E-3</v>
      </c>
      <c r="M12" s="60">
        <f t="shared" si="4"/>
        <v>1.9190296358131607E-2</v>
      </c>
    </row>
    <row r="13" spans="1:13" s="38" customFormat="1" ht="16">
      <c r="A13" s="8" t="str">
        <f>'Sovereign Ratings (Moody''s,S&amp;P)'!A55</f>
        <v>Gabon</v>
      </c>
      <c r="B13" s="119">
        <f>VLOOKUP(A13,'Country GDP'!$A$2:$B$181,2,FALSE)</f>
        <v>20895.684425675219</v>
      </c>
      <c r="C13" s="9" t="str">
        <f>VLOOKUP(A13,'Sovereign Ratings (Moody''s,S&amp;P)'!$A$2:$D$158,4,FALSE)</f>
        <v>Caa2</v>
      </c>
      <c r="D13" s="21">
        <f>VLOOKUP(A13,'ERPs by country'!$A$9:$F$165,4,FALSE)</f>
        <v>8.5672860480275226E-2</v>
      </c>
      <c r="E13" s="10">
        <f>VLOOKUP(A13,'ERPs by country'!$A$9:$F$165,5,FALSE)</f>
        <v>0.17915475881531617</v>
      </c>
      <c r="F13" s="14">
        <f>VLOOKUP(A13,'ERPs by country'!$A$9:$F$165,6,FALSE)</f>
        <v>0.13145475881531618</v>
      </c>
      <c r="G13" s="14">
        <f>VLOOKUP(A13,'Country Tax Rates'!$A$2:$B$159,2,FALSE)</f>
        <v>0.3</v>
      </c>
      <c r="H13" s="15" t="str">
        <f>VLOOKUP(A13,'Regional lookup table'!$A$2:$B$162,2,FALSE)</f>
        <v>Africa</v>
      </c>
      <c r="I13" s="60">
        <f t="shared" si="0"/>
        <v>8.9264409161832706E-3</v>
      </c>
      <c r="J13" s="60">
        <f t="shared" si="1"/>
        <v>7.6475372719758954E-4</v>
      </c>
      <c r="K13" s="60">
        <f t="shared" si="2"/>
        <v>1.5992143694179837E-3</v>
      </c>
      <c r="L13" s="60">
        <f t="shared" si="3"/>
        <v>1.1734231377160417E-3</v>
      </c>
      <c r="M13" s="60">
        <f t="shared" si="4"/>
        <v>2.6779322748549813E-3</v>
      </c>
    </row>
    <row r="14" spans="1:13" s="38" customFormat="1" ht="16">
      <c r="A14" s="8" t="str">
        <f>'Sovereign Ratings (Moody''s,S&amp;P)'!A58</f>
        <v>Ghana</v>
      </c>
      <c r="B14" s="119">
        <f>VLOOKUP(A14,'Country GDP'!$A$2:$B$181,2,FALSE)</f>
        <v>82308.110386464061</v>
      </c>
      <c r="C14" s="9" t="str">
        <f>VLOOKUP(A14,'Sovereign Ratings (Moody''s,S&amp;P)'!$A$2:$D$158,4,FALSE)</f>
        <v>Caa1</v>
      </c>
      <c r="D14" s="21">
        <f>VLOOKUP(A14,'ERPs by country'!$A$9:$F$165,4,FALSE)</f>
        <v>7.1356768911769716E-2</v>
      </c>
      <c r="E14" s="10">
        <f>VLOOKUP(A14,'ERPs by country'!$A$9:$F$165,5,FALSE)</f>
        <v>0.15718842836053751</v>
      </c>
      <c r="F14" s="14">
        <f>VLOOKUP(A14,'ERPs by country'!$A$9:$F$165,6,FALSE)</f>
        <v>0.10948842836053752</v>
      </c>
      <c r="G14" s="14">
        <f>VLOOKUP(A14,'Country Tax Rates'!$A$2:$B$159,2,FALSE)</f>
        <v>0.25</v>
      </c>
      <c r="H14" s="15" t="str">
        <f>VLOOKUP(A14,'Regional lookup table'!$A$2:$B$162,2,FALSE)</f>
        <v>Africa</v>
      </c>
      <c r="I14" s="60">
        <f t="shared" si="0"/>
        <v>3.5161254798846839E-2</v>
      </c>
      <c r="J14" s="60">
        <f t="shared" si="1"/>
        <v>2.5089935333291679E-3</v>
      </c>
      <c r="K14" s="60">
        <f t="shared" si="2"/>
        <v>5.5269423810151421E-3</v>
      </c>
      <c r="L14" s="60">
        <f t="shared" si="3"/>
        <v>3.8497505271101479E-3</v>
      </c>
      <c r="M14" s="60">
        <f t="shared" si="4"/>
        <v>8.7903136997117097E-3</v>
      </c>
    </row>
    <row r="15" spans="1:13" s="38" customFormat="1" ht="16">
      <c r="A15" s="8" t="str">
        <f>'Sovereign Ratings (Moody''s,S&amp;P)'!A78</f>
        <v>Kenya</v>
      </c>
      <c r="B15" s="119">
        <f>VLOOKUP(A15,'Country GDP'!$A$2:$B$181,2,FALSE)</f>
        <v>120339.55790593175</v>
      </c>
      <c r="C15" s="9" t="str">
        <f>VLOOKUP(A15,'Sovereign Ratings (Moody''s,S&amp;P)'!$A$2:$D$158,4,FALSE)</f>
        <v>B3</v>
      </c>
      <c r="D15" s="21">
        <f>VLOOKUP(A15,'ERPs by country'!$A$9:$F$165,4,FALSE)</f>
        <v>6.1849989354559008E-2</v>
      </c>
      <c r="E15" s="10">
        <f>VLOOKUP(A15,'ERPs by country'!$A$9:$F$165,5,FALSE)</f>
        <v>0.14260141204291102</v>
      </c>
      <c r="F15" s="14">
        <f>VLOOKUP(A15,'ERPs by country'!$A$9:$F$165,6,FALSE)</f>
        <v>9.4901412042911026E-2</v>
      </c>
      <c r="G15" s="14">
        <f>VLOOKUP(A15,'Country Tax Rates'!$A$2:$B$159,2,FALSE)</f>
        <v>0.3</v>
      </c>
      <c r="H15" s="15" t="str">
        <f>VLOOKUP(A15,'Regional lookup table'!$A$2:$B$162,2,FALSE)</f>
        <v>Africa</v>
      </c>
      <c r="I15" s="60">
        <f t="shared" si="0"/>
        <v>5.1407933410738398E-2</v>
      </c>
      <c r="J15" s="60">
        <f t="shared" si="1"/>
        <v>3.1795801341940482E-3</v>
      </c>
      <c r="K15" s="60">
        <f t="shared" si="2"/>
        <v>7.330843894579238E-3</v>
      </c>
      <c r="L15" s="60">
        <f t="shared" si="3"/>
        <v>4.8786854708870167E-3</v>
      </c>
      <c r="M15" s="60">
        <f t="shared" si="4"/>
        <v>1.5422380023221518E-2</v>
      </c>
    </row>
    <row r="16" spans="1:13" s="38" customFormat="1" ht="16">
      <c r="A16" s="8" t="str">
        <f>'Sovereign Ratings (Moody''s,S&amp;P)'!A92</f>
        <v>Mali</v>
      </c>
      <c r="B16" s="119">
        <f>VLOOKUP(A16,'Country GDP'!$A$2:$B$181,2,FALSE)</f>
        <v>26794.747239880471</v>
      </c>
      <c r="C16" s="9" t="str">
        <f>VLOOKUP(A16,'Sovereign Ratings (Moody''s,S&amp;P)'!$A$2:$D$158,4,FALSE)</f>
        <v>Caa2</v>
      </c>
      <c r="D16" s="21">
        <f>VLOOKUP(A16,'ERPs by country'!$A$9:$F$165,4,FALSE)</f>
        <v>8.5672860480275226E-2</v>
      </c>
      <c r="E16" s="10">
        <f>VLOOKUP(A16,'ERPs by country'!$A$9:$F$165,5,FALSE)</f>
        <v>0.17915475881531617</v>
      </c>
      <c r="F16" s="14">
        <f>VLOOKUP(A16,'ERPs by country'!$A$9:$F$165,6,FALSE)</f>
        <v>0.13145475881531618</v>
      </c>
      <c r="G16" s="14">
        <f>VLOOKUP(A16,'Country Tax Rates'!$A$2:$B$159,2,FALSE)</f>
        <v>0.3</v>
      </c>
      <c r="H16" s="15" t="str">
        <f>VLOOKUP(A16,'Regional lookup table'!$A$2:$B$162,2,FALSE)</f>
        <v>Africa</v>
      </c>
      <c r="I16" s="60">
        <f t="shared" si="0"/>
        <v>1.1446465367124672E-2</v>
      </c>
      <c r="J16" s="60">
        <f t="shared" si="1"/>
        <v>9.8065143038997445E-4</v>
      </c>
      <c r="K16" s="60">
        <f t="shared" si="2"/>
        <v>2.0506887421350901E-3</v>
      </c>
      <c r="L16" s="60">
        <f t="shared" si="3"/>
        <v>1.5046923441232433E-3</v>
      </c>
      <c r="M16" s="60">
        <f t="shared" si="4"/>
        <v>3.4339396101374015E-3</v>
      </c>
    </row>
    <row r="17" spans="1:13" s="38" customFormat="1" ht="16">
      <c r="A17" s="8" t="str">
        <f>'Sovereign Ratings (Moody''s,S&amp;P)'!A94</f>
        <v>Mauritius</v>
      </c>
      <c r="B17" s="119">
        <f>VLOOKUP(A17,'Country GDP'!$A$2:$B$181,2,FALSE)</f>
        <v>14937.861786169999</v>
      </c>
      <c r="C17" s="9" t="str">
        <f>VLOOKUP(A17,'Sovereign Ratings (Moody''s,S&amp;P)'!$A$2:$D$158,4,FALSE)</f>
        <v>Baa3</v>
      </c>
      <c r="D17" s="21">
        <f>VLOOKUP(A17,'ERPs by country'!$A$9:$F$165,4,FALSE)</f>
        <v>2.091491502586354E-2</v>
      </c>
      <c r="E17" s="10">
        <f>VLOOKUP(A17,'ERPs by country'!$A$9:$F$165,5,FALSE)</f>
        <v>7.979143589877824E-2</v>
      </c>
      <c r="F17" s="14">
        <f>VLOOKUP(A17,'ERPs by country'!$A$9:$F$165,6,FALSE)</f>
        <v>3.2091435898778241E-2</v>
      </c>
      <c r="G17" s="14">
        <f>VLOOKUP(A17,'Country Tax Rates'!$A$2:$B$159,2,FALSE)</f>
        <v>0.15</v>
      </c>
      <c r="H17" s="15" t="str">
        <f>VLOOKUP(A17,'Regional lookup table'!$A$2:$B$162,2,FALSE)</f>
        <v>Africa</v>
      </c>
      <c r="I17" s="60">
        <f>B17/$B$32</f>
        <v>6.3813148175475278E-3</v>
      </c>
      <c r="J17" s="60">
        <f t="shared" si="1"/>
        <v>1.3346465716229045E-4</v>
      </c>
      <c r="K17" s="60">
        <f t="shared" si="2"/>
        <v>5.0917427221426734E-4</v>
      </c>
      <c r="L17" s="60">
        <f t="shared" si="3"/>
        <v>2.0478555541725025E-4</v>
      </c>
      <c r="M17" s="60">
        <f>I17*G17</f>
        <v>9.5719722263212911E-4</v>
      </c>
    </row>
    <row r="18" spans="1:13" s="38" customFormat="1" ht="16">
      <c r="A18" s="8" t="str">
        <f>'Sovereign Ratings (Moody''s,S&amp;P)'!A100</f>
        <v>Morocco</v>
      </c>
      <c r="B18" s="119">
        <f>VLOOKUP(A18,'Country GDP'!$A$2:$B$181,2,FALSE)</f>
        <v>160610.9940547341</v>
      </c>
      <c r="C18" s="9" t="str">
        <f>VLOOKUP(A18,'Sovereign Ratings (Moody''s,S&amp;P)'!$A$2:$D$158,4,FALSE)</f>
        <v>Ba1</v>
      </c>
      <c r="D18" s="21">
        <f>VLOOKUP(A18,'ERPs by country'!$A$9:$F$165,4,FALSE)</f>
        <v>2.3822871125716225E-2</v>
      </c>
      <c r="E18" s="10">
        <f>VLOOKUP(A18,'ERPs by country'!$A$9:$F$165,5,FALSE)</f>
        <v>8.425334677240516E-2</v>
      </c>
      <c r="F18" s="14">
        <f>VLOOKUP(A18,'ERPs by country'!$A$9:$F$165,6,FALSE)</f>
        <v>3.6553346772405161E-2</v>
      </c>
      <c r="G18" s="14">
        <f>VLOOKUP(A18,'Country Tax Rates'!$A$2:$B$159,2,FALSE)</f>
        <v>0.33</v>
      </c>
      <c r="H18" s="15" t="str">
        <f>VLOOKUP(A18,'Regional lookup table'!$A$2:$B$162,2,FALSE)</f>
        <v>Africa</v>
      </c>
      <c r="I18" s="60">
        <f t="shared" si="0"/>
        <v>6.8611514210916713E-2</v>
      </c>
      <c r="J18" s="60">
        <f t="shared" si="1"/>
        <v>1.6345232607869161E-3</v>
      </c>
      <c r="K18" s="60">
        <f t="shared" si="2"/>
        <v>5.7807496993921709E-3</v>
      </c>
      <c r="L18" s="60">
        <f t="shared" si="3"/>
        <v>2.5079804715314432E-3</v>
      </c>
      <c r="M18" s="60">
        <f t="shared" si="4"/>
        <v>2.2641799689602518E-2</v>
      </c>
    </row>
    <row r="19" spans="1:13" s="38" customFormat="1" ht="16">
      <c r="A19" s="8" t="str">
        <f>'Sovereign Ratings (Moody''s,S&amp;P)'!A101</f>
        <v>Mozambique</v>
      </c>
      <c r="B19" s="119">
        <f>VLOOKUP(A19,'Country GDP'!$A$2:$B$181,2,FALSE)</f>
        <v>22745.341305062204</v>
      </c>
      <c r="C19" s="9" t="str">
        <f>VLOOKUP(A19,'Sovereign Ratings (Moody''s,S&amp;P)'!$A$2:$D$158,4,FALSE)</f>
        <v>Caa3</v>
      </c>
      <c r="D19" s="21">
        <f>VLOOKUP(A19,'ERPs by country'!$A$9:$F$165,4,FALSE)</f>
        <v>9.5179640037485941E-2</v>
      </c>
      <c r="E19" s="10">
        <f>VLOOKUP(A19,'ERPs by country'!$A$9:$F$165,5,FALSE)</f>
        <v>0.19374177513294266</v>
      </c>
      <c r="F19" s="14">
        <f>VLOOKUP(A19,'ERPs by country'!$A$9:$F$165,6,FALSE)</f>
        <v>0.14604177513294267</v>
      </c>
      <c r="G19" s="14">
        <f>VLOOKUP(A19,'Country Tax Rates'!$A$2:$B$159,2,FALSE)</f>
        <v>0.32</v>
      </c>
      <c r="H19" s="15" t="str">
        <f>VLOOKUP(A19,'Regional lookup table'!$A$2:$B$162,2,FALSE)</f>
        <v>Africa</v>
      </c>
      <c r="I19" s="60">
        <f t="shared" si="0"/>
        <v>9.7165970322840856E-3</v>
      </c>
      <c r="J19" s="60">
        <f t="shared" si="1"/>
        <v>9.2482220792210342E-4</v>
      </c>
      <c r="K19" s="60">
        <f t="shared" si="2"/>
        <v>1.8825107572862014E-3</v>
      </c>
      <c r="L19" s="60">
        <f t="shared" si="3"/>
        <v>1.4190290788462505E-3</v>
      </c>
      <c r="M19" s="60">
        <f t="shared" si="4"/>
        <v>3.1093110503309074E-3</v>
      </c>
    </row>
    <row r="20" spans="1:13" s="38" customFormat="1" ht="16">
      <c r="A20" s="8" t="str">
        <f>'Sovereign Ratings (Moody''s,S&amp;P)'!A102</f>
        <v>Namibia</v>
      </c>
      <c r="B20" s="119">
        <f>VLOOKUP(A20,'Country GDP'!$A$2:$B$181,2,FALSE)</f>
        <v>13372.354511716025</v>
      </c>
      <c r="C20" s="9" t="str">
        <f>VLOOKUP(A20,'Sovereign Ratings (Moody''s,S&amp;P)'!$A$2:$D$158,4,FALSE)</f>
        <v>B1</v>
      </c>
      <c r="D20" s="21">
        <f>VLOOKUP(A20,'ERPs by country'!$A$9:$F$165,4,FALSE)</f>
        <v>4.2836430240137613E-2</v>
      </c>
      <c r="E20" s="10">
        <f>VLOOKUP(A20,'ERPs by country'!$A$9:$F$165,5,FALSE)</f>
        <v>0.1134273794076581</v>
      </c>
      <c r="F20" s="14">
        <f>VLOOKUP(A20,'ERPs by country'!$A$9:$F$165,6,FALSE)</f>
        <v>6.572737940765809E-2</v>
      </c>
      <c r="G20" s="14">
        <f>VLOOKUP(A20,'Country Tax Rates'!$A$2:$B$159,2,FALSE)</f>
        <v>0.32</v>
      </c>
      <c r="H20" s="15" t="str">
        <f>VLOOKUP(A20,'Regional lookup table'!$A$2:$B$162,2,FALSE)</f>
        <v>Africa</v>
      </c>
      <c r="I20" s="60">
        <f t="shared" si="0"/>
        <v>5.7125447545723386E-3</v>
      </c>
      <c r="J20" s="60">
        <f t="shared" si="1"/>
        <v>2.4470502487290203E-4</v>
      </c>
      <c r="K20" s="60">
        <f t="shared" si="2"/>
        <v>6.4795898126010379E-4</v>
      </c>
      <c r="L20" s="60">
        <f t="shared" si="3"/>
        <v>3.7547059646700316E-4</v>
      </c>
      <c r="M20" s="60">
        <f t="shared" si="4"/>
        <v>1.8280143214631484E-3</v>
      </c>
    </row>
    <row r="21" spans="1:13" s="38" customFormat="1" ht="16">
      <c r="A21" s="8" t="str">
        <f>'Sovereign Ratings (Moody''s,S&amp;P)'!A107</f>
        <v>Niger</v>
      </c>
      <c r="B21" s="119">
        <f>VLOOKUP(A21,'Country GDP'!$A$2:$B$181,2,FALSE)</f>
        <v>19876.12848578567</v>
      </c>
      <c r="C21" s="9" t="str">
        <f>VLOOKUP(A21,'Sovereign Ratings (Moody''s,S&amp;P)'!$A$2:$D$158,4,FALSE)</f>
        <v>Caa3</v>
      </c>
      <c r="D21" s="21">
        <f>VLOOKUP(A21,'ERPs by country'!$A$9:$F$165,4,FALSE)</f>
        <v>9.5179640037485941E-2</v>
      </c>
      <c r="E21" s="10">
        <f>VLOOKUP(A21,'ERPs by country'!$A$9:$F$165,5,FALSE)</f>
        <v>0.19374177513294266</v>
      </c>
      <c r="F21" s="14">
        <f>VLOOKUP(A21,'ERPs by country'!$A$9:$F$165,6,FALSE)</f>
        <v>0.14604177513294267</v>
      </c>
      <c r="G21" s="14">
        <f>VLOOKUP(A21,'Country Tax Rates'!$A$2:$B$159,2,FALSE)</f>
        <v>0.3</v>
      </c>
      <c r="H21" s="15" t="str">
        <f>VLOOKUP(A21,'Regional lookup table'!$A$2:$B$162,2,FALSE)</f>
        <v>Africa</v>
      </c>
      <c r="I21" s="60">
        <f>B21/$B$32</f>
        <v>8.4908961561856004E-3</v>
      </c>
      <c r="J21" s="60">
        <f>I21*D21</f>
        <v>8.0816043974141845E-4</v>
      </c>
      <c r="K21" s="60">
        <f>I21*E21</f>
        <v>1.6450412937688778E-3</v>
      </c>
      <c r="L21" s="60">
        <f>I21*F21</f>
        <v>1.2400255471188247E-3</v>
      </c>
      <c r="M21" s="60">
        <f>I21*G21</f>
        <v>2.5472688468556799E-3</v>
      </c>
    </row>
    <row r="22" spans="1:13" s="38" customFormat="1" ht="16">
      <c r="A22" s="8" t="str">
        <f>'Sovereign Ratings (Moody''s,S&amp;P)'!A108</f>
        <v>Nigeria</v>
      </c>
      <c r="B22" s="119">
        <f>VLOOKUP(A22,'Country GDP'!$A$2:$B$181,2,FALSE)</f>
        <v>252261.88014115053</v>
      </c>
      <c r="C22" s="9" t="str">
        <f>VLOOKUP(A22,'Sovereign Ratings (Moody''s,S&amp;P)'!$A$2:$D$158,4,FALSE)</f>
        <v>B3</v>
      </c>
      <c r="D22" s="21">
        <f>VLOOKUP(A22,'ERPs by country'!$A$9:$F$165,4,FALSE)</f>
        <v>6.1849989354559008E-2</v>
      </c>
      <c r="E22" s="10">
        <f>VLOOKUP(A22,'ERPs by country'!$A$9:$F$165,5,FALSE)</f>
        <v>0.14260141204291102</v>
      </c>
      <c r="F22" s="14">
        <f>VLOOKUP(A22,'ERPs by country'!$A$9:$F$165,6,FALSE)</f>
        <v>9.4901412042911026E-2</v>
      </c>
      <c r="G22" s="14">
        <f>VLOOKUP(A22,'Country Tax Rates'!$A$2:$B$159,2,FALSE)</f>
        <v>0.3</v>
      </c>
      <c r="H22" s="15" t="str">
        <f>VLOOKUP(A22,'Regional lookup table'!$A$2:$B$162,2,FALSE)</f>
        <v>Africa</v>
      </c>
      <c r="I22" s="60">
        <f t="shared" si="0"/>
        <v>0.10776391539098971</v>
      </c>
      <c r="J22" s="60">
        <f t="shared" si="1"/>
        <v>6.6651970197383111E-3</v>
      </c>
      <c r="K22" s="60">
        <f t="shared" si="2"/>
        <v>1.5367286502027925E-2</v>
      </c>
      <c r="L22" s="60">
        <f t="shared" si="3"/>
        <v>1.0226947737877716E-2</v>
      </c>
      <c r="M22" s="60">
        <f t="shared" si="4"/>
        <v>3.232917461729691E-2</v>
      </c>
    </row>
    <row r="23" spans="1:13" s="38" customFormat="1" ht="16">
      <c r="A23" s="8" t="str">
        <f>'Sovereign Ratings (Moody''s,S&amp;P)'!A122</f>
        <v>Rwanda</v>
      </c>
      <c r="B23" s="119">
        <f>VLOOKUP(A23,'Country GDP'!$A$2:$B$181,2,FALSE)</f>
        <v>14251.642235096837</v>
      </c>
      <c r="C23" s="9" t="str">
        <f>VLOOKUP(A23,'Sovereign Ratings (Moody''s,S&amp;P)'!$A$2:$D$158,4,FALSE)</f>
        <v>B2</v>
      </c>
      <c r="D23" s="21">
        <f>VLOOKUP(A23,'ERPs by country'!$A$9:$F$165,4,FALSE)</f>
        <v>5.2343209797348314E-2</v>
      </c>
      <c r="E23" s="10">
        <f>VLOOKUP(A23,'ERPs by country'!$A$9:$F$165,5,FALSE)</f>
        <v>0.12801439572528456</v>
      </c>
      <c r="F23" s="14">
        <f>VLOOKUP(A23,'ERPs by country'!$A$9:$F$165,6,FALSE)</f>
        <v>8.0314395725284565E-2</v>
      </c>
      <c r="G23" s="14">
        <f>VLOOKUP(A23,'Country Tax Rates'!$A$2:$B$159,2,FALSE)</f>
        <v>0.28000000000000003</v>
      </c>
      <c r="H23" s="15" t="str">
        <f>VLOOKUP(A23,'Regional lookup table'!$A$2:$B$162,2,FALSE)</f>
        <v>Africa</v>
      </c>
      <c r="I23" s="60">
        <f t="shared" si="0"/>
        <v>6.0881682446284908E-3</v>
      </c>
      <c r="J23" s="60">
        <f t="shared" si="1"/>
        <v>3.1867426771014292E-4</v>
      </c>
      <c r="K23" s="60">
        <f t="shared" si="2"/>
        <v>7.7937317890998262E-4</v>
      </c>
      <c r="L23" s="60">
        <f t="shared" si="3"/>
        <v>4.8896755364120372E-4</v>
      </c>
      <c r="M23" s="60">
        <f t="shared" si="4"/>
        <v>1.7046871084959775E-3</v>
      </c>
    </row>
    <row r="24" spans="1:13" s="38" customFormat="1" ht="16">
      <c r="A24" s="8" t="str">
        <f>'Sovereign Ratings (Moody''s,S&amp;P)'!A124</f>
        <v>Senegal</v>
      </c>
      <c r="B24" s="119">
        <f>VLOOKUP(A24,'Country GDP'!$A$2:$B$181,2,FALSE)</f>
        <v>32808.056600943579</v>
      </c>
      <c r="C24" s="9" t="str">
        <f>VLOOKUP(A24,'Sovereign Ratings (Moody''s,S&amp;P)'!$A$2:$D$158,4,FALSE)</f>
        <v>Caa1</v>
      </c>
      <c r="D24" s="21">
        <f>VLOOKUP(A24,'ERPs by country'!$A$9:$F$165,4,FALSE)</f>
        <v>7.1356768911769716E-2</v>
      </c>
      <c r="E24" s="10">
        <f>VLOOKUP(A24,'ERPs by country'!$A$9:$F$165,5,FALSE)</f>
        <v>0.15718842836053751</v>
      </c>
      <c r="F24" s="14">
        <f>VLOOKUP(A24,'ERPs by country'!$A$9:$F$165,6,FALSE)</f>
        <v>0.10948842836053752</v>
      </c>
      <c r="G24" s="14">
        <f>VLOOKUP(A24,'Country Tax Rates'!$A$2:$B$159,2,FALSE)</f>
        <v>0.3</v>
      </c>
      <c r="H24" s="15" t="str">
        <f>VLOOKUP(A24,'Regional lookup table'!$A$2:$B$162,2,FALSE)</f>
        <v>Africa</v>
      </c>
      <c r="I24" s="60">
        <f t="shared" si="0"/>
        <v>1.4015294874154666E-2</v>
      </c>
      <c r="J24" s="60">
        <f t="shared" si="1"/>
        <v>1.0000861575653651E-3</v>
      </c>
      <c r="K24" s="60">
        <f t="shared" si="2"/>
        <v>2.2030421742778692E-3</v>
      </c>
      <c r="L24" s="60">
        <f t="shared" si="3"/>
        <v>1.5345126087806919E-3</v>
      </c>
      <c r="M24" s="60">
        <f t="shared" si="4"/>
        <v>4.2045884622463996E-3</v>
      </c>
    </row>
    <row r="25" spans="1:13" s="38" customFormat="1" ht="16">
      <c r="A25" s="8" t="str">
        <f>'Sovereign Ratings (Moody''s,S&amp;P)'!A131</f>
        <v>South Africa</v>
      </c>
      <c r="B25" s="119">
        <f>VLOOKUP(A25,'Country GDP'!$A$2:$B$181,2,FALSE)</f>
        <v>401144.99837358523</v>
      </c>
      <c r="C25" s="9" t="str">
        <f>VLOOKUP(A25,'Sovereign Ratings (Moody''s,S&amp;P)'!$A$2:$D$158,4,FALSE)</f>
        <v>Ba2</v>
      </c>
      <c r="D25" s="21">
        <f>VLOOKUP(A25,'ERPs by country'!$A$9:$F$165,4,FALSE)</f>
        <v>2.863218313701105E-2</v>
      </c>
      <c r="E25" s="10">
        <f>VLOOKUP(A25,'ERPs by country'!$A$9:$F$165,5,FALSE)</f>
        <v>9.1632660909557379E-2</v>
      </c>
      <c r="F25" s="14">
        <f>VLOOKUP(A25,'ERPs by country'!$A$9:$F$165,6,FALSE)</f>
        <v>4.3932660909557379E-2</v>
      </c>
      <c r="G25" s="14">
        <f>VLOOKUP(A25,'Country Tax Rates'!$A$2:$B$159,2,FALSE)</f>
        <v>0.27</v>
      </c>
      <c r="H25" s="15" t="str">
        <f>VLOOKUP(A25,'Regional lookup table'!$A$2:$B$162,2,FALSE)</f>
        <v>Africa</v>
      </c>
      <c r="I25" s="60">
        <f t="shared" si="0"/>
        <v>0.17136539076003648</v>
      </c>
      <c r="J25" s="60">
        <f t="shared" si="1"/>
        <v>4.9065652515868259E-3</v>
      </c>
      <c r="K25" s="60">
        <f t="shared" si="2"/>
        <v>1.5702666743148221E-2</v>
      </c>
      <c r="L25" s="60">
        <f t="shared" si="3"/>
        <v>7.5285376038944805E-3</v>
      </c>
      <c r="M25" s="60">
        <f t="shared" si="4"/>
        <v>4.6268655505209852E-2</v>
      </c>
    </row>
    <row r="26" spans="1:13" ht="16">
      <c r="A26" s="8" t="str">
        <f>'Sovereign Ratings (Moody''s,S&amp;P)'!A137</f>
        <v>Swaziland</v>
      </c>
      <c r="B26" s="119">
        <f>VLOOKUP(A26,'Country GDP'!$A$2:$B$181,2,FALSE)</f>
        <v>4858.8858407723637</v>
      </c>
      <c r="C26" s="9" t="str">
        <f>VLOOKUP(A26,'Sovereign Ratings (Moody''s,S&amp;P)'!$A$2:$D$158,4,FALSE)</f>
        <v>B2</v>
      </c>
      <c r="D26" s="21">
        <f>VLOOKUP(A26,'ERPs by country'!$A$9:$F$165,4,FALSE)</f>
        <v>5.2343209797348314E-2</v>
      </c>
      <c r="E26" s="10">
        <f>VLOOKUP(A26,'ERPs by country'!$A$9:$F$165,5,FALSE)</f>
        <v>0.12801439572528456</v>
      </c>
      <c r="F26" s="14">
        <f>VLOOKUP(A26,'ERPs by country'!$A$9:$F$165,6,FALSE)</f>
        <v>8.0314395725284565E-2</v>
      </c>
      <c r="G26" s="14">
        <f>VLOOKUP(A26,'Country Tax Rates'!$A$2:$B$159,2,FALSE)</f>
        <v>0.25</v>
      </c>
      <c r="H26" s="15" t="str">
        <f>VLOOKUP(A26,'Regional lookup table'!$A$2:$B$162,2,FALSE)</f>
        <v>Africa</v>
      </c>
      <c r="I26" s="60">
        <f>B26/$B$32</f>
        <v>2.0756705783152372E-3</v>
      </c>
      <c r="J26" s="60">
        <f>I26*D26</f>
        <v>1.0864726055093776E-4</v>
      </c>
      <c r="K26" s="60">
        <f>I26*E26</f>
        <v>2.6571571480777701E-4</v>
      </c>
      <c r="L26" s="60">
        <f>I26*F26</f>
        <v>1.6670622822214024E-4</v>
      </c>
      <c r="M26" s="60">
        <f>I26*G26</f>
        <v>5.1891764457880931E-4</v>
      </c>
    </row>
    <row r="27" spans="1:13" s="38" customFormat="1" ht="16">
      <c r="A27" s="8" t="str">
        <f>'Sovereign Ratings (Moody''s,S&amp;P)'!A142</f>
        <v>Tanzania</v>
      </c>
      <c r="B27" s="119">
        <f>VLOOKUP(A27,'Country GDP'!$A$2:$B$181,2,FALSE)</f>
        <v>78844.405385219507</v>
      </c>
      <c r="C27" s="9" t="str">
        <f>VLOOKUP(A27,'Sovereign Ratings (Moody''s,S&amp;P)'!$A$2:$D$158,4,FALSE)</f>
        <v>B1</v>
      </c>
      <c r="D27" s="21">
        <f>VLOOKUP(A27,'ERPs by country'!$A$9:$F$165,4,FALSE)</f>
        <v>4.2836430240137613E-2</v>
      </c>
      <c r="E27" s="10">
        <f>VLOOKUP(A27,'ERPs by country'!$A$9:$F$165,5,FALSE)</f>
        <v>0.1134273794076581</v>
      </c>
      <c r="F27" s="14">
        <f>VLOOKUP(A27,'ERPs by country'!$A$9:$F$165,6,FALSE)</f>
        <v>6.572737940765809E-2</v>
      </c>
      <c r="G27" s="14">
        <f>VLOOKUP(A27,'Country Tax Rates'!$A$2:$B$159,2,FALSE)</f>
        <v>0.3</v>
      </c>
      <c r="H27" s="15" t="str">
        <f>VLOOKUP(A27,'Regional lookup table'!$A$2:$B$162,2,FALSE)</f>
        <v>Africa</v>
      </c>
      <c r="I27" s="60">
        <f t="shared" si="0"/>
        <v>3.3681592423839522E-2</v>
      </c>
      <c r="J27" s="60">
        <f t="shared" si="1"/>
        <v>1.4427991842405493E-3</v>
      </c>
      <c r="K27" s="60">
        <f t="shared" si="2"/>
        <v>3.8204147629129479E-3</v>
      </c>
      <c r="L27" s="60">
        <f t="shared" si="3"/>
        <v>2.2138028042958027E-3</v>
      </c>
      <c r="M27" s="60">
        <f t="shared" si="4"/>
        <v>1.0104477727151857E-2</v>
      </c>
    </row>
    <row r="28" spans="1:13" s="38" customFormat="1" ht="16">
      <c r="A28" s="8" t="str">
        <f>'Sovereign Ratings (Moody''s,S&amp;P)'!A144</f>
        <v>Togo</v>
      </c>
      <c r="B28" s="119">
        <f>VLOOKUP(A28,'Country GDP'!$A$2:$B$181,2,FALSE)</f>
        <v>10651.180146530964</v>
      </c>
      <c r="C28" s="9" t="str">
        <f>VLOOKUP(A28,'Sovereign Ratings (Moody''s,S&amp;P)'!$A$2:$D$158,4,FALSE)</f>
        <v>B3</v>
      </c>
      <c r="D28" s="21">
        <f>VLOOKUP(A28,'ERPs by country'!$A$9:$F$165,4,FALSE)</f>
        <v>6.1849989354559008E-2</v>
      </c>
      <c r="E28" s="10">
        <f>VLOOKUP(A28,'ERPs by country'!$A$9:$F$165,5,FALSE)</f>
        <v>0.14260141204291102</v>
      </c>
      <c r="F28" s="14">
        <f>VLOOKUP(A28,'ERPs by country'!$A$9:$F$165,6,FALSE)</f>
        <v>9.4901412042911026E-2</v>
      </c>
      <c r="G28" s="14">
        <f>VLOOKUP(A28,'Country Tax Rates'!$A$2:$B$159,2,FALSE)</f>
        <v>0.27</v>
      </c>
      <c r="H28" s="15" t="str">
        <f>VLOOKUP(A28,'Regional lookup table'!$A$2:$B$162,2,FALSE)</f>
        <v>Africa</v>
      </c>
      <c r="I28" s="60">
        <f>B28/$B$32</f>
        <v>4.5500845212233633E-3</v>
      </c>
      <c r="J28" s="60">
        <f>I28*D28</f>
        <v>2.8142267920000877E-4</v>
      </c>
      <c r="K28" s="60">
        <f>I28*E28</f>
        <v>6.4884847764104438E-4</v>
      </c>
      <c r="L28" s="60">
        <f>I28*F28</f>
        <v>4.3180944597868997E-4</v>
      </c>
      <c r="M28" s="60">
        <f>I28*G28</f>
        <v>1.2285228207303083E-3</v>
      </c>
    </row>
    <row r="29" spans="1:13" s="38" customFormat="1" ht="16">
      <c r="A29" s="8" t="str">
        <f>'Sovereign Ratings (Moody''s,S&amp;P)'!A146</f>
        <v>Tunisia</v>
      </c>
      <c r="B29" s="119">
        <f>VLOOKUP(A29,'Country GDP'!$A$2:$B$181,2,FALSE)</f>
        <v>51332.285656542161</v>
      </c>
      <c r="C29" s="9" t="str">
        <f>VLOOKUP(A29,'Sovereign Ratings (Moody''s,S&amp;P)'!$A$2:$D$158,4,FALSE)</f>
        <v>Caa1</v>
      </c>
      <c r="D29" s="21">
        <f>VLOOKUP(A29,'ERPs by country'!$A$9:$F$165,4,FALSE)</f>
        <v>7.1356768911769716E-2</v>
      </c>
      <c r="E29" s="10">
        <f>VLOOKUP(A29,'ERPs by country'!$A$9:$F$165,5,FALSE)</f>
        <v>0.15718842836053751</v>
      </c>
      <c r="F29" s="14">
        <f>VLOOKUP(A29,'ERPs by country'!$A$9:$F$165,6,FALSE)</f>
        <v>0.10948842836053752</v>
      </c>
      <c r="G29" s="14">
        <f>VLOOKUP(A29,'Country Tax Rates'!$A$2:$B$159,2,FALSE)</f>
        <v>0.15</v>
      </c>
      <c r="H29" s="15" t="str">
        <f>VLOOKUP(A29,'Regional lookup table'!$A$2:$B$162,2,FALSE)</f>
        <v>Africa</v>
      </c>
      <c r="I29" s="60">
        <f t="shared" si="0"/>
        <v>2.192867224022306E-2</v>
      </c>
      <c r="J29" s="60">
        <f t="shared" si="1"/>
        <v>1.5647591975875364E-3</v>
      </c>
      <c r="K29" s="60">
        <f t="shared" si="2"/>
        <v>3.4469335254740099E-3</v>
      </c>
      <c r="L29" s="60">
        <f t="shared" si="3"/>
        <v>2.4009358596153701E-3</v>
      </c>
      <c r="M29" s="60">
        <f t="shared" si="4"/>
        <v>3.2893008360334588E-3</v>
      </c>
    </row>
    <row r="30" spans="1:13" s="38" customFormat="1" ht="16">
      <c r="A30" s="8" t="str">
        <f>'Sovereign Ratings (Moody''s,S&amp;P)'!A149</f>
        <v>Uganda</v>
      </c>
      <c r="B30" s="119">
        <f>VLOOKUP(A30,'Country GDP'!$A$2:$B$181,2,FALSE)</f>
        <v>53911.907086152532</v>
      </c>
      <c r="C30" s="9" t="str">
        <f>VLOOKUP(A30,'Sovereign Ratings (Moody''s,S&amp;P)'!$A$2:$D$158,4,FALSE)</f>
        <v>B3</v>
      </c>
      <c r="D30" s="21">
        <f>VLOOKUP(A30,'ERPs by country'!$A$9:$F$165,4,FALSE)</f>
        <v>6.1849989354559008E-2</v>
      </c>
      <c r="E30" s="10">
        <f>VLOOKUP(A30,'ERPs by country'!$A$9:$F$165,5,FALSE)</f>
        <v>0.14260141204291102</v>
      </c>
      <c r="F30" s="14">
        <f>VLOOKUP(A30,'ERPs by country'!$A$9:$F$165,6,FALSE)</f>
        <v>9.4901412042911026E-2</v>
      </c>
      <c r="G30" s="14">
        <f>VLOOKUP(A30,'Country Tax Rates'!$A$2:$B$159,2,FALSE)</f>
        <v>0.3</v>
      </c>
      <c r="H30" s="15" t="str">
        <f>VLOOKUP(A30,'Regional lookup table'!$A$2:$B$162,2,FALSE)</f>
        <v>Africa</v>
      </c>
      <c r="I30" s="60">
        <f>B30/$B$32</f>
        <v>2.303066238366356E-2</v>
      </c>
      <c r="J30" s="60">
        <f>I30*D30</f>
        <v>1.4244462232580338E-3</v>
      </c>
      <c r="K30" s="60">
        <f>I30*E30</f>
        <v>3.2842049761939787E-3</v>
      </c>
      <c r="L30" s="60">
        <f>I30*F30</f>
        <v>2.185642380493227E-3</v>
      </c>
      <c r="M30" s="60">
        <f>I30*G30</f>
        <v>6.9091987150990677E-3</v>
      </c>
    </row>
    <row r="31" spans="1:13" s="38" customFormat="1" ht="16">
      <c r="A31" s="8" t="str">
        <f>'Sovereign Ratings (Moody''s,S&amp;P)'!A158</f>
        <v>Zambia</v>
      </c>
      <c r="B31" s="119">
        <f>VLOOKUP(A31,'Country GDP'!$A$2:$B$181,2,FALSE)</f>
        <v>25303.185342251072</v>
      </c>
      <c r="C31" s="9" t="str">
        <f>VLOOKUP(A31,'Sovereign Ratings (Moody''s,S&amp;P)'!$A$2:$D$158,4,FALSE)</f>
        <v>Caa2</v>
      </c>
      <c r="D31" s="21">
        <f>VLOOKUP(A31,'ERPs by country'!$A$9:$F$165,4,FALSE)</f>
        <v>8.5672860480275226E-2</v>
      </c>
      <c r="E31" s="10">
        <f>VLOOKUP(A31,'ERPs by country'!$A$9:$F$165,5,FALSE)</f>
        <v>0.17915475881531617</v>
      </c>
      <c r="F31" s="14">
        <f>VLOOKUP(A31,'ERPs by country'!$A$9:$F$165,6,FALSE)</f>
        <v>0.13145475881531618</v>
      </c>
      <c r="G31" s="14">
        <f>VLOOKUP(A31,'Country Tax Rates'!$A$2:$B$159,2,FALSE)</f>
        <v>0.3</v>
      </c>
      <c r="H31" s="15" t="str">
        <f>VLOOKUP(A31,'Regional lookup table'!$A$2:$B$162,2,FALSE)</f>
        <v>Africa</v>
      </c>
      <c r="I31" s="60">
        <f>B31/$B$32</f>
        <v>1.0809284077400595E-2</v>
      </c>
      <c r="J31" s="60">
        <f>I31*D31</f>
        <v>9.2606228665480174E-4</v>
      </c>
      <c r="K31" s="60">
        <f>I31*E31</f>
        <v>1.936534681852941E-3</v>
      </c>
      <c r="L31" s="60">
        <f>I31*F31</f>
        <v>1.4209318313609326E-3</v>
      </c>
      <c r="M31" s="60">
        <f>I31*G31</f>
        <v>3.2427852232201787E-3</v>
      </c>
    </row>
    <row r="32" spans="1:13" s="32" customFormat="1" ht="16">
      <c r="A32" s="58" t="s">
        <v>128</v>
      </c>
      <c r="B32" s="140">
        <f>SUM(B2:B31)</f>
        <v>2340875.22920722</v>
      </c>
      <c r="C32" s="53"/>
      <c r="D32" s="54">
        <f>SUM(J2:J31)</f>
        <v>5.6252337638977808E-2</v>
      </c>
      <c r="E32" s="260">
        <f>F32+'ERPs by country'!E3</f>
        <v>0.13401248490683995</v>
      </c>
      <c r="F32" s="54">
        <f>SUM(L2:L31)</f>
        <v>8.6312484906839959E-2</v>
      </c>
      <c r="G32" s="54">
        <f>SUM(M2:M31)</f>
        <v>0.27390173905276305</v>
      </c>
      <c r="H32" s="58"/>
      <c r="I32" s="61">
        <f>SUM(I2:I31)</f>
        <v>1.0000000000000007</v>
      </c>
    </row>
    <row r="33" spans="1:13" s="32" customFormat="1" ht="16">
      <c r="A33" s="8" t="s">
        <v>132</v>
      </c>
      <c r="B33" s="119">
        <v>450119.43206885224</v>
      </c>
      <c r="C33" s="9" t="s">
        <v>49</v>
      </c>
      <c r="D33" s="21">
        <v>5.2343209797348314E-2</v>
      </c>
      <c r="E33" s="10">
        <v>0.12801439572528456</v>
      </c>
      <c r="F33" s="14">
        <v>8.0314395725284565E-2</v>
      </c>
      <c r="G33" s="14">
        <v>0.27500000000000002</v>
      </c>
      <c r="H33" s="15" t="s">
        <v>129</v>
      </c>
      <c r="I33" s="60">
        <f t="shared" ref="I33:I51" si="5">B33/$B$57</f>
        <v>1.2959906073422798E-2</v>
      </c>
      <c r="J33" s="60">
        <f t="shared" ref="J33" si="6">I33*D33</f>
        <v>6.7836308255509814E-4</v>
      </c>
      <c r="K33" s="60">
        <f t="shared" ref="K33" si="7">I33*E33</f>
        <v>1.6590545446456648E-3</v>
      </c>
      <c r="L33" s="60">
        <f t="shared" ref="L33" si="8">I33*F33</f>
        <v>1.0408670249433974E-3</v>
      </c>
      <c r="M33" s="60">
        <f t="shared" ref="M33" si="9">I33*G33</f>
        <v>3.5639741701912696E-3</v>
      </c>
    </row>
    <row r="34" spans="1:13" s="38" customFormat="1" ht="16">
      <c r="A34" s="8" t="s">
        <v>6</v>
      </c>
      <c r="B34" s="119">
        <v>46352.64703724056</v>
      </c>
      <c r="C34" s="9" t="s">
        <v>49</v>
      </c>
      <c r="D34" s="21">
        <v>5.2343209797348314E-2</v>
      </c>
      <c r="E34" s="10">
        <v>0.12801439572528456</v>
      </c>
      <c r="F34" s="14">
        <v>8.0314395725284565E-2</v>
      </c>
      <c r="G34" s="14">
        <v>0.2</v>
      </c>
      <c r="H34" s="15" t="s">
        <v>129</v>
      </c>
      <c r="I34" s="60">
        <f t="shared" si="5"/>
        <v>1.3345923527364344E-3</v>
      </c>
      <c r="J34" s="60">
        <f t="shared" ref="J34:J56" si="10">I34*D34</f>
        <v>6.9856847513219872E-5</v>
      </c>
      <c r="K34" s="60">
        <f t="shared" ref="K34:K56" si="11">I34*E34</f>
        <v>1.7084703357514046E-4</v>
      </c>
      <c r="L34" s="60">
        <f t="shared" ref="L34:L56" si="12">I34*F34</f>
        <v>1.0718697834961256E-4</v>
      </c>
      <c r="M34" s="60">
        <f t="shared" si="4"/>
        <v>2.6691847054728689E-4</v>
      </c>
    </row>
    <row r="35" spans="1:13" s="38" customFormat="1" ht="16">
      <c r="A35" s="8" t="s">
        <v>97</v>
      </c>
      <c r="B35" s="119">
        <v>18743803.170827165</v>
      </c>
      <c r="C35" s="9" t="s">
        <v>41</v>
      </c>
      <c r="D35" s="21">
        <v>6.710667922736965E-3</v>
      </c>
      <c r="E35" s="10">
        <v>5.7996717400677508E-2</v>
      </c>
      <c r="F35" s="14">
        <v>1.0296717400677511E-2</v>
      </c>
      <c r="G35" s="14">
        <v>0.25</v>
      </c>
      <c r="H35" s="15" t="s">
        <v>129</v>
      </c>
      <c r="I35" s="60">
        <f t="shared" si="5"/>
        <v>0.5396743869424564</v>
      </c>
      <c r="J35" s="60">
        <f t="shared" si="10"/>
        <v>3.621575597177479E-3</v>
      </c>
      <c r="K35" s="60">
        <f t="shared" si="11"/>
        <v>3.1299342907885525E-2</v>
      </c>
      <c r="L35" s="60">
        <f t="shared" si="12"/>
        <v>5.5568746507303583E-3</v>
      </c>
      <c r="M35" s="60">
        <f t="shared" si="4"/>
        <v>0.1349185967356141</v>
      </c>
    </row>
    <row r="36" spans="1:13" s="38" customFormat="1" ht="16">
      <c r="A36" s="8" t="s">
        <v>216</v>
      </c>
      <c r="B36" s="119">
        <v>5968.1259092712598</v>
      </c>
      <c r="C36" s="9" t="s">
        <v>48</v>
      </c>
      <c r="D36" s="21">
        <v>4.2836430240137613E-2</v>
      </c>
      <c r="E36" s="10">
        <v>0.1134273794076581</v>
      </c>
      <c r="F36" s="14">
        <v>6.572737940765809E-2</v>
      </c>
      <c r="G36" s="14">
        <v>0.25</v>
      </c>
      <c r="H36" s="15" t="s">
        <v>129</v>
      </c>
      <c r="I36" s="60">
        <f t="shared" si="5"/>
        <v>1.7183517464023929E-4</v>
      </c>
      <c r="J36" s="60">
        <f t="shared" si="10"/>
        <v>7.3608054712784739E-6</v>
      </c>
      <c r="K36" s="60">
        <f t="shared" si="11"/>
        <v>1.9490813549499609E-5</v>
      </c>
      <c r="L36" s="60">
        <f t="shared" si="12"/>
        <v>1.1294275719160196E-5</v>
      </c>
      <c r="M36" s="60">
        <f t="shared" si="4"/>
        <v>4.2958793660059823E-5</v>
      </c>
    </row>
    <row r="37" spans="1:13" s="38" customFormat="1" ht="16">
      <c r="A37" s="8" t="s">
        <v>59</v>
      </c>
      <c r="B37" s="119">
        <v>406863.39648734155</v>
      </c>
      <c r="C37" s="9" t="s">
        <v>46</v>
      </c>
      <c r="D37" s="21">
        <v>5.7040677343264193E-3</v>
      </c>
      <c r="E37" s="10">
        <v>5.6452209790575886E-2</v>
      </c>
      <c r="F37" s="14">
        <v>8.7522097905758829E-3</v>
      </c>
      <c r="G37" s="14">
        <v>0.16500000000000001</v>
      </c>
      <c r="H37" s="15" t="s">
        <v>129</v>
      </c>
      <c r="I37" s="60">
        <f t="shared" si="5"/>
        <v>1.1714471821299102E-2</v>
      </c>
      <c r="J37" s="60">
        <f t="shared" si="10"/>
        <v>6.6820140740548258E-5</v>
      </c>
      <c r="K37" s="60">
        <f t="shared" si="11"/>
        <v>6.613078208417665E-4</v>
      </c>
      <c r="L37" s="60">
        <f t="shared" si="12"/>
        <v>1.0252751496579929E-4</v>
      </c>
      <c r="M37" s="60">
        <f t="shared" si="4"/>
        <v>1.932887850514352E-3</v>
      </c>
    </row>
    <row r="38" spans="1:13" s="38" customFormat="1" ht="16">
      <c r="A38" s="8" t="s">
        <v>111</v>
      </c>
      <c r="B38" s="119">
        <v>3909891.5338580837</v>
      </c>
      <c r="C38" s="9" t="s">
        <v>124</v>
      </c>
      <c r="D38" s="21">
        <v>2.091491502586354E-2</v>
      </c>
      <c r="E38" s="10">
        <v>7.979143589877824E-2</v>
      </c>
      <c r="F38" s="14">
        <v>3.2091435898778241E-2</v>
      </c>
      <c r="G38" s="14">
        <v>0.3</v>
      </c>
      <c r="H38" s="15" t="s">
        <v>129</v>
      </c>
      <c r="I38" s="60">
        <f t="shared" si="5"/>
        <v>0.11257418237460312</v>
      </c>
      <c r="J38" s="60">
        <f t="shared" si="10"/>
        <v>2.3544794584708893E-3</v>
      </c>
      <c r="K38" s="60">
        <f t="shared" si="11"/>
        <v>8.9824556568005153E-3</v>
      </c>
      <c r="L38" s="60">
        <f t="shared" si="12"/>
        <v>3.6126671575319475E-3</v>
      </c>
      <c r="M38" s="60">
        <f t="shared" si="4"/>
        <v>3.3772254712380934E-2</v>
      </c>
    </row>
    <row r="39" spans="1:13" s="38" customFormat="1" ht="16">
      <c r="A39" s="8" t="s">
        <v>112</v>
      </c>
      <c r="B39" s="119">
        <v>1396300.0981909733</v>
      </c>
      <c r="C39" s="9" t="s">
        <v>83</v>
      </c>
      <c r="D39" s="21">
        <v>1.8118803391389805E-2</v>
      </c>
      <c r="E39" s="10">
        <v>7.5501136981829281E-2</v>
      </c>
      <c r="F39" s="14">
        <v>2.7801136981829278E-2</v>
      </c>
      <c r="G39" s="14">
        <v>0.22</v>
      </c>
      <c r="H39" s="15" t="s">
        <v>129</v>
      </c>
      <c r="I39" s="60">
        <f t="shared" si="5"/>
        <v>4.0202481460738203E-2</v>
      </c>
      <c r="J39" s="60">
        <f t="shared" si="10"/>
        <v>7.2842085743310913E-4</v>
      </c>
      <c r="K39" s="60">
        <f t="shared" si="11"/>
        <v>3.035333059776647E-3</v>
      </c>
      <c r="L39" s="60">
        <f t="shared" si="12"/>
        <v>1.1176746940994348E-3</v>
      </c>
      <c r="M39" s="60">
        <f t="shared" si="4"/>
        <v>8.8445459213624053E-3</v>
      </c>
    </row>
    <row r="40" spans="1:13" s="38" customFormat="1" ht="16">
      <c r="A40" s="8" t="s">
        <v>116</v>
      </c>
      <c r="B40" s="119">
        <v>4027597.5235505826</v>
      </c>
      <c r="C40" s="9" t="s">
        <v>41</v>
      </c>
      <c r="D40" s="21">
        <v>6.710667922736965E-3</v>
      </c>
      <c r="E40" s="10">
        <v>5.7996717400677508E-2</v>
      </c>
      <c r="F40" s="14">
        <v>1.0296717400677511E-2</v>
      </c>
      <c r="G40" s="14">
        <v>0.2974</v>
      </c>
      <c r="H40" s="15" t="s">
        <v>129</v>
      </c>
      <c r="I40" s="60">
        <f t="shared" si="5"/>
        <v>0.11596319085104836</v>
      </c>
      <c r="J40" s="60">
        <f t="shared" si="10"/>
        <v>7.7819046506235495E-4</v>
      </c>
      <c r="K40" s="60">
        <f t="shared" si="11"/>
        <v>6.7254844086690833E-3</v>
      </c>
      <c r="L40" s="60">
        <f t="shared" si="12"/>
        <v>1.1940402050740768E-3</v>
      </c>
      <c r="M40" s="60">
        <f t="shared" si="4"/>
        <v>3.4487452959101786E-2</v>
      </c>
    </row>
    <row r="41" spans="1:13" s="38" customFormat="1" ht="16">
      <c r="A41" s="8" t="s">
        <v>119</v>
      </c>
      <c r="B41" s="119">
        <v>1875388.2094068029</v>
      </c>
      <c r="C41" s="9" t="s">
        <v>45</v>
      </c>
      <c r="D41" s="21">
        <v>4.6974675459158736E-3</v>
      </c>
      <c r="E41" s="10">
        <v>5.4907702180474256E-2</v>
      </c>
      <c r="F41" s="14">
        <v>7.2077021804742543E-3</v>
      </c>
      <c r="G41" s="14">
        <v>0.26400000000000001</v>
      </c>
      <c r="H41" s="15" t="s">
        <v>129</v>
      </c>
      <c r="I41" s="60">
        <f t="shared" si="5"/>
        <v>5.3996458080927623E-2</v>
      </c>
      <c r="J41" s="60">
        <f t="shared" si="10"/>
        <v>2.5364660942956443E-4</v>
      </c>
      <c r="K41" s="60">
        <f t="shared" si="11"/>
        <v>2.9648214391080363E-3</v>
      </c>
      <c r="L41" s="60">
        <f t="shared" si="12"/>
        <v>3.8919038864778868E-4</v>
      </c>
      <c r="M41" s="60">
        <f t="shared" si="4"/>
        <v>1.4255064933364894E-2</v>
      </c>
    </row>
    <row r="42" spans="1:13" s="38" customFormat="1" ht="16">
      <c r="A42" s="8" t="s">
        <v>334</v>
      </c>
      <c r="B42" s="119">
        <v>16502.933121337941</v>
      </c>
      <c r="C42" s="9" t="s">
        <v>58</v>
      </c>
      <c r="D42" s="21">
        <v>8.5672860480275226E-2</v>
      </c>
      <c r="E42" s="10">
        <v>0.17915475881531617</v>
      </c>
      <c r="F42" s="14">
        <v>0.13145475881531618</v>
      </c>
      <c r="G42" s="14">
        <v>0.2</v>
      </c>
      <c r="H42" s="15" t="s">
        <v>129</v>
      </c>
      <c r="I42" s="60">
        <f t="shared" si="5"/>
        <v>4.7515492100728133E-4</v>
      </c>
      <c r="J42" s="60">
        <f t="shared" si="10"/>
        <v>4.0707881253973009E-5</v>
      </c>
      <c r="K42" s="60">
        <f t="shared" si="11"/>
        <v>8.5126265272970092E-5</v>
      </c>
      <c r="L42" s="60">
        <f t="shared" si="12"/>
        <v>6.2461375540922778E-5</v>
      </c>
      <c r="M42" s="60">
        <f t="shared" si="4"/>
        <v>9.5030984201456271E-5</v>
      </c>
    </row>
    <row r="43" spans="1:13" s="38" customFormat="1" ht="16">
      <c r="A43" s="8" t="s">
        <v>32</v>
      </c>
      <c r="B43" s="119">
        <v>49467.258923324385</v>
      </c>
      <c r="C43" s="9" t="s">
        <v>46</v>
      </c>
      <c r="D43" s="21">
        <v>5.7040677343264193E-3</v>
      </c>
      <c r="E43" s="10">
        <v>5.6452209790575886E-2</v>
      </c>
      <c r="F43" s="14">
        <v>8.7522097905758829E-3</v>
      </c>
      <c r="G43" s="14">
        <v>0.25</v>
      </c>
      <c r="H43" s="15" t="s">
        <v>129</v>
      </c>
      <c r="I43" s="60">
        <f t="shared" si="5"/>
        <v>1.4242687244346865E-3</v>
      </c>
      <c r="J43" s="60">
        <f>I43*D43</f>
        <v>8.1241252760581417E-6</v>
      </c>
      <c r="K43" s="60">
        <f>I43*E43</f>
        <v>8.0403116829942838E-5</v>
      </c>
      <c r="L43" s="60">
        <f>I43*F43</f>
        <v>1.2465498674408287E-5</v>
      </c>
      <c r="M43" s="60">
        <f>I43*G43</f>
        <v>3.5606718110867163E-4</v>
      </c>
    </row>
    <row r="44" spans="1:13" s="38" customFormat="1" ht="16">
      <c r="A44" s="8" t="s">
        <v>14</v>
      </c>
      <c r="B44" s="119">
        <v>422227.00542868808</v>
      </c>
      <c r="C44" s="9" t="s">
        <v>43</v>
      </c>
      <c r="D44" s="21">
        <v>1.1408135468652839E-2</v>
      </c>
      <c r="E44" s="10">
        <v>6.5204419581151765E-2</v>
      </c>
      <c r="F44" s="14">
        <v>1.7504419581151766E-2</v>
      </c>
      <c r="G44" s="14">
        <v>0.24</v>
      </c>
      <c r="H44" s="15" t="s">
        <v>129</v>
      </c>
      <c r="I44" s="60">
        <f t="shared" si="5"/>
        <v>1.2156823149953123E-2</v>
      </c>
      <c r="J44" s="60">
        <f t="shared" si="10"/>
        <v>1.3868668536312016E-4</v>
      </c>
      <c r="K44" s="60">
        <f t="shared" si="11"/>
        <v>7.9267859744340248E-4</v>
      </c>
      <c r="L44" s="60">
        <f t="shared" si="12"/>
        <v>2.1279813319063855E-4</v>
      </c>
      <c r="M44" s="60">
        <f t="shared" si="4"/>
        <v>2.9176375559887497E-3</v>
      </c>
    </row>
    <row r="45" spans="1:13" s="38" customFormat="1" ht="16">
      <c r="A45" s="8" t="s">
        <v>379</v>
      </c>
      <c r="B45" s="119">
        <v>7061.6082672545081</v>
      </c>
      <c r="C45" s="9" t="s">
        <v>58</v>
      </c>
      <c r="D45" s="21">
        <v>8.5672860480275226E-2</v>
      </c>
      <c r="E45" s="10">
        <v>0.17915475881531617</v>
      </c>
      <c r="F45" s="14">
        <v>0.13145475881531618</v>
      </c>
      <c r="G45" s="14">
        <v>0.15</v>
      </c>
      <c r="H45" s="15" t="s">
        <v>129</v>
      </c>
      <c r="I45" s="60">
        <f t="shared" si="5"/>
        <v>2.0331888239147466E-4</v>
      </c>
      <c r="J45" s="60">
        <f t="shared" si="10"/>
        <v>1.7418910244130295E-5</v>
      </c>
      <c r="K45" s="60">
        <f t="shared" si="11"/>
        <v>3.6425545337444274E-5</v>
      </c>
      <c r="L45" s="60">
        <f t="shared" si="12"/>
        <v>2.6727234647370937E-5</v>
      </c>
      <c r="M45" s="60">
        <f t="shared" si="4"/>
        <v>3.0497832358721196E-5</v>
      </c>
    </row>
    <row r="46" spans="1:13" s="38" customFormat="1" ht="16">
      <c r="A46" s="8" t="s">
        <v>63</v>
      </c>
      <c r="B46" s="119">
        <v>23794.540024513171</v>
      </c>
      <c r="C46" s="9" t="s">
        <v>48</v>
      </c>
      <c r="D46" s="21">
        <v>4.2836430240137613E-2</v>
      </c>
      <c r="E46" s="10">
        <v>0.1134273794076581</v>
      </c>
      <c r="F46" s="14">
        <v>6.572737940765809E-2</v>
      </c>
      <c r="G46" s="14">
        <v>0.25</v>
      </c>
      <c r="H46" s="15" t="s">
        <v>129</v>
      </c>
      <c r="I46" s="60">
        <f t="shared" si="5"/>
        <v>6.8509595855621643E-4</v>
      </c>
      <c r="J46" s="60">
        <f>I46*D46</f>
        <v>2.9347065236493574E-5</v>
      </c>
      <c r="K46" s="60">
        <f>I46*E46</f>
        <v>7.7708639221809174E-5</v>
      </c>
      <c r="L46" s="60">
        <f>I46*F46</f>
        <v>4.5029561998677642E-5</v>
      </c>
      <c r="M46" s="60">
        <f>I46*G46</f>
        <v>1.7127398963905411E-4</v>
      </c>
    </row>
    <row r="47" spans="1:13" s="38" customFormat="1" ht="16">
      <c r="A47" s="8" t="s">
        <v>369</v>
      </c>
      <c r="B47" s="119">
        <v>42914.268286710925</v>
      </c>
      <c r="C47" s="9" t="s">
        <v>81</v>
      </c>
      <c r="D47" s="21">
        <v>3.4224406405958516E-2</v>
      </c>
      <c r="E47" s="10">
        <v>0.1002132587434553</v>
      </c>
      <c r="F47" s="14">
        <v>5.2513258743455297E-2</v>
      </c>
      <c r="G47" s="14">
        <v>0.25</v>
      </c>
      <c r="H47" s="15" t="s">
        <v>129</v>
      </c>
      <c r="I47" s="60">
        <f t="shared" si="5"/>
        <v>1.2355940370074199E-3</v>
      </c>
      <c r="J47" s="60">
        <f t="shared" si="10"/>
        <v>4.2287472475320888E-5</v>
      </c>
      <c r="K47" s="60">
        <f t="shared" si="11"/>
        <v>1.2382290493249506E-4</v>
      </c>
      <c r="L47" s="60">
        <f t="shared" si="12"/>
        <v>6.4885069367241117E-5</v>
      </c>
      <c r="M47" s="60">
        <f t="shared" si="4"/>
        <v>3.0889850925185498E-4</v>
      </c>
    </row>
    <row r="48" spans="1:13" s="38" customFormat="1" ht="16">
      <c r="A48" s="8" t="s">
        <v>25</v>
      </c>
      <c r="B48" s="119">
        <v>371570.00012126582</v>
      </c>
      <c r="C48" s="9" t="s">
        <v>100</v>
      </c>
      <c r="D48" s="21">
        <v>7.1356768911769716E-2</v>
      </c>
      <c r="E48" s="10">
        <v>0.15718842836053751</v>
      </c>
      <c r="F48" s="14">
        <v>0.10948842836053752</v>
      </c>
      <c r="G48" s="14">
        <v>0.28999999999999998</v>
      </c>
      <c r="H48" s="15" t="s">
        <v>129</v>
      </c>
      <c r="I48" s="60">
        <f t="shared" si="5"/>
        <v>1.0698299069516066E-2</v>
      </c>
      <c r="J48" s="60">
        <f t="shared" si="10"/>
        <v>7.6339605445245888E-4</v>
      </c>
      <c r="K48" s="60">
        <f t="shared" si="11"/>
        <v>1.6816488168682313E-3</v>
      </c>
      <c r="L48" s="60">
        <f t="shared" si="12"/>
        <v>1.171339951252315E-3</v>
      </c>
      <c r="M48" s="60">
        <f t="shared" si="4"/>
        <v>3.102506730159659E-3</v>
      </c>
    </row>
    <row r="49" spans="1:13" s="38" customFormat="1" ht="16">
      <c r="A49" s="8" t="s">
        <v>9</v>
      </c>
      <c r="B49" s="119">
        <v>31800.428265524628</v>
      </c>
      <c r="C49" s="9" t="s">
        <v>49</v>
      </c>
      <c r="D49" s="21">
        <v>5.2343209797348314E-2</v>
      </c>
      <c r="E49" s="10">
        <v>0.12801439572528456</v>
      </c>
      <c r="F49" s="14">
        <v>8.0314395725284565E-2</v>
      </c>
      <c r="G49" s="14">
        <v>0.3</v>
      </c>
      <c r="H49" s="15" t="s">
        <v>129</v>
      </c>
      <c r="I49" s="60">
        <f t="shared" si="5"/>
        <v>9.1560269131588459E-4</v>
      </c>
      <c r="J49" s="60">
        <f t="shared" si="10"/>
        <v>4.7925583762564092E-5</v>
      </c>
      <c r="K49" s="60">
        <f t="shared" si="11"/>
        <v>1.1721032525324721E-4</v>
      </c>
      <c r="L49" s="60">
        <f t="shared" si="12"/>
        <v>7.3536076877479529E-5</v>
      </c>
      <c r="M49" s="60">
        <f t="shared" si="4"/>
        <v>2.7468080739476538E-4</v>
      </c>
    </row>
    <row r="50" spans="1:13" s="38" customFormat="1" ht="16">
      <c r="A50" s="8" t="s">
        <v>29</v>
      </c>
      <c r="B50" s="119">
        <v>461617.50978235458</v>
      </c>
      <c r="C50" s="9" t="s">
        <v>83</v>
      </c>
      <c r="D50" s="21">
        <v>1.8118803391389805E-2</v>
      </c>
      <c r="E50" s="10">
        <v>7.5501136981829281E-2</v>
      </c>
      <c r="F50" s="14">
        <v>2.7801136981829278E-2</v>
      </c>
      <c r="G50" s="14">
        <v>0.25</v>
      </c>
      <c r="H50" s="15" t="s">
        <v>129</v>
      </c>
      <c r="I50" s="60">
        <f t="shared" si="5"/>
        <v>1.3290960448273942E-2</v>
      </c>
      <c r="J50" s="60">
        <f t="shared" si="10"/>
        <v>2.4081629924501365E-4</v>
      </c>
      <c r="K50" s="60">
        <f t="shared" si="11"/>
        <v>1.003482625425206E-3</v>
      </c>
      <c r="L50" s="60">
        <f t="shared" si="12"/>
        <v>3.6950381204253893E-4</v>
      </c>
      <c r="M50" s="60">
        <f t="shared" si="4"/>
        <v>3.3227401120684854E-3</v>
      </c>
    </row>
    <row r="51" spans="1:13" s="38" customFormat="1" ht="16">
      <c r="A51" s="8" t="s">
        <v>3</v>
      </c>
      <c r="B51" s="119">
        <v>547386.64589184662</v>
      </c>
      <c r="C51" s="9" t="s">
        <v>47</v>
      </c>
      <c r="D51" s="21">
        <v>0</v>
      </c>
      <c r="E51" s="10">
        <v>4.7699999999999999E-2</v>
      </c>
      <c r="F51" s="14">
        <v>0</v>
      </c>
      <c r="G51" s="14">
        <v>0.17</v>
      </c>
      <c r="H51" s="15" t="s">
        <v>129</v>
      </c>
      <c r="I51" s="60">
        <f t="shared" si="5"/>
        <v>1.5760438255238745E-2</v>
      </c>
      <c r="J51" s="60">
        <f t="shared" si="10"/>
        <v>0</v>
      </c>
      <c r="K51" s="60">
        <f t="shared" si="11"/>
        <v>7.5177290477488809E-4</v>
      </c>
      <c r="L51" s="60">
        <f t="shared" si="12"/>
        <v>0</v>
      </c>
      <c r="M51" s="60">
        <f t="shared" si="4"/>
        <v>2.6792745033905867E-3</v>
      </c>
    </row>
    <row r="52" spans="1:13" s="38" customFormat="1" ht="16">
      <c r="A52" s="8" t="s">
        <v>391</v>
      </c>
      <c r="B52" s="119">
        <v>1583.9647037506109</v>
      </c>
      <c r="C52" s="9" t="s">
        <v>100</v>
      </c>
      <c r="D52" s="21">
        <v>7.1356768911769716E-2</v>
      </c>
      <c r="E52" s="10">
        <v>0.15718842836053751</v>
      </c>
      <c r="F52" s="14">
        <v>0.10948842836053752</v>
      </c>
      <c r="G52" s="14">
        <v>0.3</v>
      </c>
      <c r="H52" s="15" t="s">
        <v>129</v>
      </c>
      <c r="I52" s="60">
        <f>B52/$B$57</f>
        <v>4.5605748878410619E-5</v>
      </c>
      <c r="J52" s="60">
        <f>I52*D52</f>
        <v>3.2542788837649475E-6</v>
      </c>
      <c r="K52" s="60">
        <f>I52*E52</f>
        <v>7.1686959904027114E-6</v>
      </c>
      <c r="L52" s="60">
        <f>I52*F52</f>
        <v>4.9933017689025252E-6</v>
      </c>
      <c r="M52" s="60">
        <f>I52*G52</f>
        <v>1.3681724663523185E-5</v>
      </c>
    </row>
    <row r="53" spans="1:13" s="38" customFormat="1" ht="16">
      <c r="A53" s="8" t="s">
        <v>134</v>
      </c>
      <c r="B53" s="119">
        <v>98963.185509649949</v>
      </c>
      <c r="C53" s="9" t="s">
        <v>335</v>
      </c>
      <c r="D53" s="21">
        <v>0.11419319915190733</v>
      </c>
      <c r="E53" s="10">
        <v>0.22291580776819558</v>
      </c>
      <c r="F53" s="14">
        <v>0.17521580776819559</v>
      </c>
      <c r="G53" s="14">
        <v>0.3</v>
      </c>
      <c r="H53" s="15" t="s">
        <v>129</v>
      </c>
      <c r="I53" s="60">
        <f>B53/$B$57</f>
        <v>2.8493628525142062E-3</v>
      </c>
      <c r="J53" s="60">
        <f t="shared" si="10"/>
        <v>3.2537785967320151E-4</v>
      </c>
      <c r="K53" s="60">
        <f t="shared" si="11"/>
        <v>6.3516802189289426E-4</v>
      </c>
      <c r="L53" s="60">
        <f t="shared" si="12"/>
        <v>4.9925341382796664E-4</v>
      </c>
      <c r="M53" s="60">
        <f t="shared" si="4"/>
        <v>8.5480885575426181E-4</v>
      </c>
    </row>
    <row r="54" spans="1:13" s="38" customFormat="1" ht="16">
      <c r="A54" s="8" t="s">
        <v>64</v>
      </c>
      <c r="B54" s="119">
        <v>791610</v>
      </c>
      <c r="C54" s="9" t="s">
        <v>46</v>
      </c>
      <c r="D54" s="21">
        <v>5.7040677343264193E-3</v>
      </c>
      <c r="E54" s="10">
        <v>5.6452209790575886E-2</v>
      </c>
      <c r="F54" s="14">
        <v>8.7522097905758829E-3</v>
      </c>
      <c r="G54" s="14">
        <v>0.2</v>
      </c>
      <c r="H54" s="15" t="s">
        <v>129</v>
      </c>
      <c r="I54" s="60">
        <f>B54/$B$57</f>
        <v>2.279215362826844E-2</v>
      </c>
      <c r="J54" s="60">
        <f t="shared" si="10"/>
        <v>1.3000798810681684E-4</v>
      </c>
      <c r="K54" s="60">
        <f t="shared" si="11"/>
        <v>1.2866674382020454E-3</v>
      </c>
      <c r="L54" s="60">
        <f t="shared" si="12"/>
        <v>1.9948171013364066E-4</v>
      </c>
      <c r="M54" s="60">
        <f t="shared" si="4"/>
        <v>4.5584307256536878E-3</v>
      </c>
    </row>
    <row r="55" spans="1:13" s="38" customFormat="1" ht="16">
      <c r="A55" s="8" t="s">
        <v>65</v>
      </c>
      <c r="B55" s="119">
        <v>526517.65884168376</v>
      </c>
      <c r="C55" s="9" t="s">
        <v>82</v>
      </c>
      <c r="D55" s="21">
        <v>1.5210847291537115E-2</v>
      </c>
      <c r="E55" s="10">
        <v>7.1039226108202347E-2</v>
      </c>
      <c r="F55" s="14">
        <v>2.3339226108202347E-2</v>
      </c>
      <c r="G55" s="14">
        <v>0.2</v>
      </c>
      <c r="H55" s="15" t="s">
        <v>129</v>
      </c>
      <c r="I55" s="60">
        <f>B55/$B$57</f>
        <v>1.5159575255891016E-2</v>
      </c>
      <c r="J55" s="60">
        <f t="shared" si="10"/>
        <v>2.3058998422192294E-4</v>
      </c>
      <c r="K55" s="60">
        <f t="shared" si="11"/>
        <v>1.0769244943075514E-3</v>
      </c>
      <c r="L55" s="60">
        <f t="shared" si="12"/>
        <v>3.5381275460154987E-4</v>
      </c>
      <c r="M55" s="60">
        <f t="shared" si="4"/>
        <v>3.0319150511782036E-3</v>
      </c>
    </row>
    <row r="56" spans="1:13" s="38" customFormat="1" ht="16">
      <c r="A56" s="8" t="s">
        <v>71</v>
      </c>
      <c r="B56" s="119">
        <v>476388.23030717525</v>
      </c>
      <c r="C56" s="9" t="s">
        <v>80</v>
      </c>
      <c r="D56" s="21">
        <v>2.863218313701105E-2</v>
      </c>
      <c r="E56" s="10">
        <v>9.1632660909557379E-2</v>
      </c>
      <c r="F56" s="14">
        <v>4.3932660909557379E-2</v>
      </c>
      <c r="G56" s="14">
        <v>0.2</v>
      </c>
      <c r="H56" s="15" t="s">
        <v>129</v>
      </c>
      <c r="I56" s="60">
        <f>B56/$B$57</f>
        <v>1.3716241244880769E-2</v>
      </c>
      <c r="J56" s="60">
        <f t="shared" si="10"/>
        <v>3.927259312748506E-4</v>
      </c>
      <c r="K56" s="60">
        <f t="shared" si="11"/>
        <v>1.2568556829458447E-3</v>
      </c>
      <c r="L56" s="60">
        <f t="shared" si="12"/>
        <v>6.0259097556503204E-4</v>
      </c>
      <c r="M56" s="60">
        <f t="shared" si="4"/>
        <v>2.7432482489761541E-3</v>
      </c>
    </row>
    <row r="57" spans="1:13" s="32" customFormat="1" ht="16">
      <c r="A57" s="58" t="s">
        <v>129</v>
      </c>
      <c r="B57" s="140">
        <f>SUM(B33:B56)</f>
        <v>34731689.374811396</v>
      </c>
      <c r="C57" s="53"/>
      <c r="D57" s="54">
        <f>SUM(J33:J56)</f>
        <v>1.0969379983323231E-2</v>
      </c>
      <c r="E57" s="260">
        <f>F57+'ERPs by country'!E3</f>
        <v>6.4531201759550266E-2</v>
      </c>
      <c r="F57" s="55">
        <f>SUM(L33:L56)</f>
        <v>1.6831201759550263E-2</v>
      </c>
      <c r="G57" s="55">
        <f>SUM(M33:M56)</f>
        <v>0.25654534735852497</v>
      </c>
      <c r="H57" s="58"/>
      <c r="I57" s="61">
        <f>SUM(I33:I56)</f>
        <v>1.0000000000000002</v>
      </c>
    </row>
    <row r="58" spans="1:13" s="38" customFormat="1" ht="16">
      <c r="A58" s="8" t="s">
        <v>85</v>
      </c>
      <c r="B58" s="119">
        <v>1757022.4516528314</v>
      </c>
      <c r="C58" s="9" t="s">
        <v>47</v>
      </c>
      <c r="D58" s="21">
        <v>0</v>
      </c>
      <c r="E58" s="10">
        <v>4.7699999999999999E-2</v>
      </c>
      <c r="F58" s="14">
        <v>0</v>
      </c>
      <c r="G58" s="14">
        <v>0.3</v>
      </c>
      <c r="H58" s="15" t="s">
        <v>53</v>
      </c>
      <c r="I58" s="60">
        <f>B58/$B$61</f>
        <v>0.87041254336391505</v>
      </c>
      <c r="J58" s="60">
        <f>I58*D58</f>
        <v>0</v>
      </c>
      <c r="K58" s="60">
        <f>I58*E58</f>
        <v>4.1518678318458749E-2</v>
      </c>
      <c r="L58" s="60">
        <f>I58*F58</f>
        <v>0</v>
      </c>
      <c r="M58" s="60">
        <f t="shared" si="4"/>
        <v>0.2611237630091745</v>
      </c>
    </row>
    <row r="59" spans="1:13" s="38" customFormat="1" ht="16">
      <c r="A59" s="8" t="s">
        <v>211</v>
      </c>
      <c r="B59" s="119">
        <v>1414</v>
      </c>
      <c r="C59" s="9" t="s">
        <v>48</v>
      </c>
      <c r="D59" s="21">
        <v>4.2836430240137613E-2</v>
      </c>
      <c r="E59" s="10">
        <v>0.1134273794076581</v>
      </c>
      <c r="F59" s="14">
        <v>6.572737940765809E-2</v>
      </c>
      <c r="G59" s="14">
        <v>0.2</v>
      </c>
      <c r="H59" s="15" t="s">
        <v>53</v>
      </c>
      <c r="I59" s="60">
        <f>B59/$B$61</f>
        <v>7.0048241851366014E-4</v>
      </c>
      <c r="J59" s="60">
        <f>I59*D59</f>
        <v>3.0006166255103282E-5</v>
      </c>
      <c r="K59" s="60">
        <f>I59*E59</f>
        <v>7.9453885053142875E-5</v>
      </c>
      <c r="L59" s="60">
        <f>I59*F59</f>
        <v>4.604087369004128E-5</v>
      </c>
      <c r="M59" s="60">
        <f t="shared" si="4"/>
        <v>1.4009648370273204E-4</v>
      </c>
    </row>
    <row r="60" spans="1:13" s="38" customFormat="1" ht="16">
      <c r="A60" s="8" t="s">
        <v>21</v>
      </c>
      <c r="B60" s="119">
        <v>260172.3850976165</v>
      </c>
      <c r="C60" s="9" t="s">
        <v>47</v>
      </c>
      <c r="D60" s="21">
        <v>0</v>
      </c>
      <c r="E60" s="10">
        <v>4.7699999999999999E-2</v>
      </c>
      <c r="F60" s="14">
        <v>0</v>
      </c>
      <c r="G60" s="14">
        <v>0.28000000000000003</v>
      </c>
      <c r="H60" s="15" t="s">
        <v>53</v>
      </c>
      <c r="I60" s="60">
        <f>B60/$B$61</f>
        <v>0.12888697421757125</v>
      </c>
      <c r="J60" s="60">
        <f>I60*D60</f>
        <v>0</v>
      </c>
      <c r="K60" s="60">
        <f>I60*E60</f>
        <v>6.1479086701781488E-3</v>
      </c>
      <c r="L60" s="60">
        <f>I60*F60</f>
        <v>0</v>
      </c>
      <c r="M60" s="60">
        <f t="shared" si="4"/>
        <v>3.6088352780919958E-2</v>
      </c>
    </row>
    <row r="61" spans="1:13" s="32" customFormat="1" ht="16">
      <c r="A61" s="58" t="s">
        <v>53</v>
      </c>
      <c r="B61" s="53">
        <f>SUM(B58:B60)</f>
        <v>2018608.836750448</v>
      </c>
      <c r="C61" s="53"/>
      <c r="D61" s="54">
        <f>SUM(J58:J60)</f>
        <v>3.0006166255103282E-5</v>
      </c>
      <c r="E61" s="260">
        <f>F61+'ERPs by country'!E3</f>
        <v>4.774604087369004E-2</v>
      </c>
      <c r="F61" s="54">
        <f>SUM(L58:L60)</f>
        <v>4.604087369004128E-5</v>
      </c>
      <c r="G61" s="54">
        <f>SUM(M58:M60)</f>
        <v>0.29735221227379716</v>
      </c>
      <c r="H61" s="58"/>
      <c r="I61" s="61">
        <f>SUM(I58:I60)</f>
        <v>0.99999999999999989</v>
      </c>
    </row>
    <row r="62" spans="1:13" s="38" customFormat="1" ht="16">
      <c r="A62" s="8" t="s">
        <v>198</v>
      </c>
      <c r="B62" s="119">
        <v>4265.6506730023575</v>
      </c>
      <c r="C62" s="9" t="s">
        <v>124</v>
      </c>
      <c r="D62" s="21">
        <v>2.091491502586354E-2</v>
      </c>
      <c r="E62" s="10">
        <v>7.979143589877824E-2</v>
      </c>
      <c r="F62" s="14">
        <v>3.2091435898778241E-2</v>
      </c>
      <c r="G62" s="14">
        <v>0.22</v>
      </c>
      <c r="H62" s="15" t="s">
        <v>54</v>
      </c>
      <c r="I62" s="60">
        <f t="shared" ref="I62:I74" si="13">B62/$B$76</f>
        <v>1.2264167193873644E-2</v>
      </c>
      <c r="J62" s="60">
        <f t="shared" ref="J62:J74" si="14">I62*D62</f>
        <v>2.5650401472285055E-4</v>
      </c>
      <c r="K62" s="60">
        <f t="shared" ref="K62:K74" si="15">I62*E62</f>
        <v>9.7857551050186797E-4</v>
      </c>
      <c r="L62" s="60">
        <f t="shared" ref="L62:L74" si="16">I62*F62</f>
        <v>3.9357473535409505E-4</v>
      </c>
      <c r="M62" s="60">
        <f t="shared" si="4"/>
        <v>2.6981167826522017E-3</v>
      </c>
    </row>
    <row r="63" spans="1:13" s="38" customFormat="1" ht="16">
      <c r="A63" s="8" t="s">
        <v>86</v>
      </c>
      <c r="B63" s="119">
        <v>15832.8</v>
      </c>
      <c r="C63" s="9" t="s">
        <v>48</v>
      </c>
      <c r="D63" s="21">
        <v>4.2836430240137613E-2</v>
      </c>
      <c r="E63" s="10">
        <v>0.1134273794076581</v>
      </c>
      <c r="F63" s="14">
        <v>6.572737940765809E-2</v>
      </c>
      <c r="G63" s="14">
        <v>0</v>
      </c>
      <c r="H63" s="15" t="s">
        <v>54</v>
      </c>
      <c r="I63" s="60">
        <f t="shared" si="13"/>
        <v>4.5520864513383302E-2</v>
      </c>
      <c r="J63" s="60">
        <f t="shared" si="14"/>
        <v>1.9499513371982996E-3</v>
      </c>
      <c r="K63" s="60">
        <f t="shared" si="15"/>
        <v>5.1633123701241273E-3</v>
      </c>
      <c r="L63" s="60">
        <f t="shared" si="16"/>
        <v>2.9919671328357436E-3</v>
      </c>
      <c r="M63" s="60">
        <f t="shared" si="4"/>
        <v>0</v>
      </c>
    </row>
    <row r="64" spans="1:13" s="38" customFormat="1" ht="16">
      <c r="A64" s="8" t="s">
        <v>88</v>
      </c>
      <c r="B64" s="119">
        <v>7498.05</v>
      </c>
      <c r="C64" s="9" t="s">
        <v>49</v>
      </c>
      <c r="D64" s="21">
        <v>5.2343209797348314E-2</v>
      </c>
      <c r="E64" s="10">
        <v>0.12801439572528456</v>
      </c>
      <c r="F64" s="14">
        <v>8.0314395725284565E-2</v>
      </c>
      <c r="G64" s="14">
        <v>0.09</v>
      </c>
      <c r="H64" s="15" t="s">
        <v>54</v>
      </c>
      <c r="I64" s="60">
        <f t="shared" si="13"/>
        <v>2.1557634667561876E-2</v>
      </c>
      <c r="J64" s="60">
        <f t="shared" si="14"/>
        <v>1.1283957941387805E-3</v>
      </c>
      <c r="K64" s="60">
        <f t="shared" si="15"/>
        <v>2.7596875752343795E-3</v>
      </c>
      <c r="L64" s="60">
        <f t="shared" si="16"/>
        <v>1.7313884015916778E-3</v>
      </c>
      <c r="M64" s="60">
        <f t="shared" si="4"/>
        <v>1.9401871200805689E-3</v>
      </c>
    </row>
    <row r="65" spans="1:13" s="38" customFormat="1" ht="16">
      <c r="A65" s="8" t="s">
        <v>90</v>
      </c>
      <c r="B65" s="119">
        <v>9233.6</v>
      </c>
      <c r="C65" s="9" t="s">
        <v>42</v>
      </c>
      <c r="D65" s="21">
        <v>8.0528015072843552E-3</v>
      </c>
      <c r="E65" s="10">
        <v>6.0056060880813007E-2</v>
      </c>
      <c r="F65" s="14">
        <v>1.2356060880813008E-2</v>
      </c>
      <c r="G65" s="14">
        <v>0</v>
      </c>
      <c r="H65" s="15" t="s">
        <v>54</v>
      </c>
      <c r="I65" s="60">
        <f t="shared" si="13"/>
        <v>2.6547512415414587E-2</v>
      </c>
      <c r="J65" s="60">
        <f t="shared" si="14"/>
        <v>2.1378184799350071E-4</v>
      </c>
      <c r="K65" s="60">
        <f t="shared" si="15"/>
        <v>1.5943390218542777E-3</v>
      </c>
      <c r="L65" s="60">
        <f t="shared" si="16"/>
        <v>3.2802267963900184E-4</v>
      </c>
      <c r="M65" s="60">
        <f t="shared" si="4"/>
        <v>0</v>
      </c>
    </row>
    <row r="66" spans="1:13" s="38" customFormat="1" ht="16">
      <c r="A66" s="8" t="s">
        <v>55</v>
      </c>
      <c r="B66" s="119">
        <v>7241.2442694597212</v>
      </c>
      <c r="C66" s="9" t="s">
        <v>46</v>
      </c>
      <c r="D66" s="21">
        <v>5.7040677343264193E-3</v>
      </c>
      <c r="E66" s="10">
        <v>5.6452209790575886E-2</v>
      </c>
      <c r="F66" s="14">
        <v>8.7522097905758829E-3</v>
      </c>
      <c r="G66" s="14">
        <v>0</v>
      </c>
      <c r="H66" s="15" t="s">
        <v>54</v>
      </c>
      <c r="I66" s="60">
        <f t="shared" si="13"/>
        <v>2.0819292816077334E-2</v>
      </c>
      <c r="J66" s="60">
        <f t="shared" si="14"/>
        <v>1.1875465640368054E-4</v>
      </c>
      <c r="K66" s="60">
        <f t="shared" si="15"/>
        <v>1.1752950857446271E-3</v>
      </c>
      <c r="L66" s="60">
        <f t="shared" si="16"/>
        <v>1.8221481841773819E-4</v>
      </c>
      <c r="M66" s="60">
        <f t="shared" si="4"/>
        <v>0</v>
      </c>
    </row>
    <row r="67" spans="1:13" s="38" customFormat="1" ht="16">
      <c r="A67" s="8" t="s">
        <v>99</v>
      </c>
      <c r="B67" s="119">
        <v>107352</v>
      </c>
      <c r="C67" s="9" t="s">
        <v>335</v>
      </c>
      <c r="D67" s="21">
        <v>0.11419319915190733</v>
      </c>
      <c r="E67" s="10">
        <v>0.22291580776819558</v>
      </c>
      <c r="F67" s="14">
        <v>0.17521580776819559</v>
      </c>
      <c r="G67" s="14">
        <v>0.35</v>
      </c>
      <c r="H67" s="15" t="s">
        <v>54</v>
      </c>
      <c r="I67" s="60">
        <f t="shared" si="13"/>
        <v>0.30864760795568214</v>
      </c>
      <c r="J67" s="60">
        <f t="shared" si="14"/>
        <v>3.5245457763043025E-2</v>
      </c>
      <c r="K67" s="60">
        <f t="shared" si="15"/>
        <v>6.8802430843162232E-2</v>
      </c>
      <c r="L67" s="60">
        <f t="shared" si="16"/>
        <v>5.40799399436762E-2</v>
      </c>
      <c r="M67" s="60">
        <f t="shared" si="4"/>
        <v>0.10802666278448875</v>
      </c>
    </row>
    <row r="68" spans="1:13" s="38" customFormat="1" ht="16">
      <c r="A68" s="8" t="s">
        <v>214</v>
      </c>
      <c r="B68" s="119">
        <v>3561.1781962071341</v>
      </c>
      <c r="C68" s="9" t="s">
        <v>124</v>
      </c>
      <c r="D68" s="21">
        <v>2.091491502586354E-2</v>
      </c>
      <c r="E68" s="10">
        <v>7.979143589877824E-2</v>
      </c>
      <c r="F68" s="14">
        <v>3.2091435898778241E-2</v>
      </c>
      <c r="G68" s="14">
        <v>0.22</v>
      </c>
      <c r="H68" s="15" t="s">
        <v>54</v>
      </c>
      <c r="I68" s="60">
        <f t="shared" si="13"/>
        <v>1.0238739210850872E-2</v>
      </c>
      <c r="J68" s="60">
        <f t="shared" si="14"/>
        <v>2.1414236056692309E-4</v>
      </c>
      <c r="K68" s="60">
        <f t="shared" si="15"/>
        <v>8.1696370342691468E-4</v>
      </c>
      <c r="L68" s="60">
        <f t="shared" si="16"/>
        <v>3.2857584306932806E-4</v>
      </c>
      <c r="M68" s="60">
        <f t="shared" si="4"/>
        <v>2.252522626387192E-3</v>
      </c>
    </row>
    <row r="69" spans="1:13" s="38" customFormat="1" ht="16">
      <c r="A69" s="8" t="s">
        <v>103</v>
      </c>
      <c r="B69" s="119">
        <v>124282.24563856845</v>
      </c>
      <c r="C69" s="9" t="s">
        <v>80</v>
      </c>
      <c r="D69" s="21">
        <v>2.863218313701105E-2</v>
      </c>
      <c r="E69" s="10">
        <v>9.1632660909557379E-2</v>
      </c>
      <c r="F69" s="14">
        <v>4.3932660909557379E-2</v>
      </c>
      <c r="G69" s="14">
        <v>0.27</v>
      </c>
      <c r="H69" s="15" t="s">
        <v>54</v>
      </c>
      <c r="I69" s="60">
        <f t="shared" si="13"/>
        <v>0.35732373712371135</v>
      </c>
      <c r="J69" s="60">
        <f t="shared" si="14"/>
        <v>1.0230958680527298E-2</v>
      </c>
      <c r="K69" s="60">
        <f t="shared" si="15"/>
        <v>3.2742524838792864E-2</v>
      </c>
      <c r="L69" s="60">
        <f t="shared" si="16"/>
        <v>1.569818257799183E-2</v>
      </c>
      <c r="M69" s="60">
        <f t="shared" si="4"/>
        <v>9.6477409023402072E-2</v>
      </c>
    </row>
    <row r="70" spans="1:13" s="38" customFormat="1" ht="16">
      <c r="A70" s="8" t="s">
        <v>115</v>
      </c>
      <c r="B70" s="119">
        <v>22014.39708976886</v>
      </c>
      <c r="C70" s="9" t="s">
        <v>81</v>
      </c>
      <c r="D70" s="21">
        <v>3.4224406405958516E-2</v>
      </c>
      <c r="E70" s="10">
        <v>0.1002132587434553</v>
      </c>
      <c r="F70" s="14">
        <v>5.2513258743455297E-2</v>
      </c>
      <c r="G70" s="14">
        <v>0.25</v>
      </c>
      <c r="H70" s="15" t="s">
        <v>54</v>
      </c>
      <c r="I70" s="60">
        <f t="shared" si="13"/>
        <v>6.3293566979131161E-2</v>
      </c>
      <c r="J70" s="60">
        <f t="shared" si="14"/>
        <v>2.1661847591765409E-3</v>
      </c>
      <c r="K70" s="60">
        <f t="shared" si="15"/>
        <v>6.3428546044758888E-3</v>
      </c>
      <c r="L70" s="60">
        <f t="shared" si="16"/>
        <v>3.323751459571333E-3</v>
      </c>
      <c r="M70" s="60">
        <f t="shared" si="4"/>
        <v>1.582339174478279E-2</v>
      </c>
    </row>
    <row r="71" spans="1:13" s="38" customFormat="1" ht="16">
      <c r="A71" s="8" t="s">
        <v>222</v>
      </c>
      <c r="B71" s="119">
        <v>16199</v>
      </c>
      <c r="C71" s="9" t="s">
        <v>124</v>
      </c>
      <c r="D71" s="21">
        <v>2.091491502586354E-2</v>
      </c>
      <c r="E71" s="10">
        <v>7.979143589877824E-2</v>
      </c>
      <c r="F71" s="14">
        <v>3.2091435898778241E-2</v>
      </c>
      <c r="G71" s="14">
        <v>0.3</v>
      </c>
      <c r="H71" s="15" t="s">
        <v>54</v>
      </c>
      <c r="I71" s="60">
        <f t="shared" si="13"/>
        <v>4.6573725699326468E-2</v>
      </c>
      <c r="J71" s="60">
        <f t="shared" si="14"/>
        <v>9.7408551543929007E-4</v>
      </c>
      <c r="K71" s="60">
        <f t="shared" si="15"/>
        <v>3.7161844487050887E-3</v>
      </c>
      <c r="L71" s="60">
        <f t="shared" si="16"/>
        <v>1.4946177328472162E-3</v>
      </c>
      <c r="M71" s="60">
        <f t="shared" si="4"/>
        <v>1.397211770979794E-2</v>
      </c>
    </row>
    <row r="72" spans="1:13" s="38" customFormat="1" ht="16">
      <c r="A72" s="8" t="s">
        <v>188</v>
      </c>
      <c r="B72" s="119">
        <v>1797.8366659513574</v>
      </c>
      <c r="C72" s="9" t="s">
        <v>80</v>
      </c>
      <c r="D72" s="21">
        <v>2.863218313701105E-2</v>
      </c>
      <c r="E72" s="10">
        <v>9.1632660909557379E-2</v>
      </c>
      <c r="F72" s="14">
        <v>4.3932660909557379E-2</v>
      </c>
      <c r="G72" s="14">
        <v>0.2</v>
      </c>
      <c r="H72" s="15" t="s">
        <v>54</v>
      </c>
      <c r="I72" s="60">
        <f t="shared" si="13"/>
        <v>5.1689580673010774E-3</v>
      </c>
      <c r="J72" s="60">
        <f t="shared" si="14"/>
        <v>1.4799855401049513E-4</v>
      </c>
      <c r="K72" s="60">
        <f t="shared" si="15"/>
        <v>4.7364538183672069E-4</v>
      </c>
      <c r="L72" s="60">
        <f t="shared" si="16"/>
        <v>2.2708608202645932E-4</v>
      </c>
      <c r="M72" s="60">
        <f t="shared" si="4"/>
        <v>1.0337916134602156E-3</v>
      </c>
    </row>
    <row r="73" spans="1:13" s="38" customFormat="1" ht="16">
      <c r="A73" s="8" t="s">
        <v>10</v>
      </c>
      <c r="B73" s="119">
        <v>1157.2074074074073</v>
      </c>
      <c r="C73" s="9" t="s">
        <v>78</v>
      </c>
      <c r="D73" s="21">
        <v>6.1849989354559008E-2</v>
      </c>
      <c r="E73" s="10">
        <v>0.14260141204291102</v>
      </c>
      <c r="F73" s="14">
        <v>9.4901412042911026E-2</v>
      </c>
      <c r="G73" s="14">
        <v>0.28000000000000003</v>
      </c>
      <c r="H73" s="15" t="s">
        <v>54</v>
      </c>
      <c r="I73" s="60">
        <f t="shared" si="13"/>
        <v>3.3270856453991803E-3</v>
      </c>
      <c r="J73" s="60">
        <f t="shared" si="14"/>
        <v>2.0578021174964538E-4</v>
      </c>
      <c r="K73" s="60">
        <f t="shared" si="15"/>
        <v>4.7444711102162307E-4</v>
      </c>
      <c r="L73" s="60">
        <f t="shared" si="16"/>
        <v>3.1574512573608217E-4</v>
      </c>
      <c r="M73" s="60">
        <f t="shared" si="4"/>
        <v>9.3158398071177062E-4</v>
      </c>
    </row>
    <row r="74" spans="1:13" s="38" customFormat="1" ht="16">
      <c r="A74" s="8" t="s">
        <v>11</v>
      </c>
      <c r="B74" s="119">
        <v>25633.544529484869</v>
      </c>
      <c r="C74" s="9" t="s">
        <v>80</v>
      </c>
      <c r="D74" s="21">
        <v>2.863218313701105E-2</v>
      </c>
      <c r="E74" s="10">
        <v>9.1632660909557379E-2</v>
      </c>
      <c r="F74" s="14">
        <v>4.3932660909557379E-2</v>
      </c>
      <c r="G74" s="14">
        <v>0.3</v>
      </c>
      <c r="H74" s="15" t="s">
        <v>54</v>
      </c>
      <c r="I74" s="60">
        <f t="shared" si="13"/>
        <v>7.3698973493283471E-2</v>
      </c>
      <c r="J74" s="60">
        <f t="shared" si="14"/>
        <v>2.1101625060694152E-3</v>
      </c>
      <c r="K74" s="60">
        <f t="shared" si="15"/>
        <v>6.7532330474925021E-3</v>
      </c>
      <c r="L74" s="60">
        <f t="shared" si="16"/>
        <v>3.2377920118628802E-3</v>
      </c>
      <c r="M74" s="60">
        <f t="shared" si="4"/>
        <v>2.210969204798504E-2</v>
      </c>
    </row>
    <row r="75" spans="1:13" s="38" customFormat="1" ht="16">
      <c r="A75" s="8" t="s">
        <v>287</v>
      </c>
      <c r="B75" s="119">
        <v>1745.3779999999999</v>
      </c>
      <c r="C75" s="9" t="s">
        <v>82</v>
      </c>
      <c r="D75" s="21">
        <v>1.5210847291537115E-2</v>
      </c>
      <c r="E75" s="10">
        <v>7.1039226108202347E-2</v>
      </c>
      <c r="F75" s="14">
        <v>2.3339226108202347E-2</v>
      </c>
      <c r="G75" s="14">
        <v>0</v>
      </c>
      <c r="H75" s="15" t="s">
        <v>54</v>
      </c>
      <c r="I75" s="60">
        <f>B75/$B$76</f>
        <v>5.0181342190035822E-3</v>
      </c>
      <c r="J75" s="60">
        <f>I75*D75</f>
        <v>7.6330073293700356E-5</v>
      </c>
      <c r="K75" s="60">
        <f>I75*E75</f>
        <v>3.5648437142510287E-4</v>
      </c>
      <c r="L75" s="60">
        <f>I75*F75</f>
        <v>1.17119369178632E-4</v>
      </c>
      <c r="M75" s="60">
        <f>I75*G75</f>
        <v>0</v>
      </c>
    </row>
    <row r="76" spans="1:13" s="32" customFormat="1" ht="16">
      <c r="A76" s="58" t="s">
        <v>54</v>
      </c>
      <c r="B76" s="53">
        <f>SUM(B62:B75)</f>
        <v>347814.13246985013</v>
      </c>
      <c r="C76" s="53"/>
      <c r="D76" s="54">
        <f>SUM(J62:J75)</f>
        <v>5.5038488074333446E-2</v>
      </c>
      <c r="E76" s="260">
        <f>F76+'ERPs by country'!E3</f>
        <v>0.13214997791379821</v>
      </c>
      <c r="F76" s="54">
        <f>SUM(L62:L75)</f>
        <v>8.4449977913798213E-2</v>
      </c>
      <c r="G76" s="54">
        <f>SUM(M62:M75)</f>
        <v>0.26526547543374851</v>
      </c>
      <c r="H76" s="58"/>
      <c r="I76" s="61">
        <f>SUM(I62:I75)</f>
        <v>1.0000000000000002</v>
      </c>
      <c r="J76" s="61"/>
      <c r="K76" s="61"/>
      <c r="L76" s="61">
        <f>SUM(L62:L75)</f>
        <v>8.4449977913798213E-2</v>
      </c>
    </row>
    <row r="77" spans="1:13" s="38" customFormat="1" ht="16">
      <c r="A77" s="8" t="s">
        <v>84</v>
      </c>
      <c r="B77" s="119">
        <v>638365.45534004038</v>
      </c>
      <c r="C77" s="9" t="s">
        <v>100</v>
      </c>
      <c r="D77" s="21">
        <v>7.1356768911769716E-2</v>
      </c>
      <c r="E77" s="10">
        <v>0.15718842836053751</v>
      </c>
      <c r="F77" s="14">
        <v>0.10948842836053752</v>
      </c>
      <c r="G77" s="14">
        <v>0.35</v>
      </c>
      <c r="H77" s="15" t="s">
        <v>51</v>
      </c>
      <c r="I77" s="60">
        <f t="shared" ref="I77:I95" si="17">B77/$B$96</f>
        <v>9.7631985719954975E-2</v>
      </c>
      <c r="J77" s="60">
        <f t="shared" ref="J77:J95" si="18">I77*D77</f>
        <v>6.966703043416028E-3</v>
      </c>
      <c r="K77" s="60">
        <f t="shared" ref="K77:K95" si="19">I77*E77</f>
        <v>1.5346618393038164E-2</v>
      </c>
      <c r="L77" s="60">
        <f t="shared" ref="L77:L95" si="20">I77*F77</f>
        <v>1.0689572674196311E-2</v>
      </c>
      <c r="M77" s="60">
        <f t="shared" si="4"/>
        <v>3.4171195001984241E-2</v>
      </c>
    </row>
    <row r="78" spans="1:13" s="38" customFormat="1" ht="16">
      <c r="A78" s="8" t="s">
        <v>89</v>
      </c>
      <c r="B78" s="119">
        <v>3203.6318000000001</v>
      </c>
      <c r="C78" s="9" t="s">
        <v>100</v>
      </c>
      <c r="D78" s="21">
        <v>7.1356768911769716E-2</v>
      </c>
      <c r="E78" s="10">
        <v>0.15718842836053751</v>
      </c>
      <c r="F78" s="14">
        <v>0.10948842836053752</v>
      </c>
      <c r="G78" s="14">
        <v>0</v>
      </c>
      <c r="H78" s="15" t="s">
        <v>51</v>
      </c>
      <c r="I78" s="60">
        <f t="shared" si="17"/>
        <v>4.899653192903204E-4</v>
      </c>
      <c r="J78" s="60">
        <f t="shared" si="18"/>
        <v>3.4962342063380857E-5</v>
      </c>
      <c r="K78" s="60">
        <f t="shared" si="19"/>
        <v>7.7016878490414415E-5</v>
      </c>
      <c r="L78" s="60">
        <f t="shared" si="20"/>
        <v>5.3645532760266132E-5</v>
      </c>
      <c r="M78" s="60">
        <f t="shared" ref="M78:M144" si="21">I78*G78</f>
        <v>0</v>
      </c>
    </row>
    <row r="79" spans="1:13" s="38" customFormat="1" ht="16">
      <c r="A79" s="8" t="s">
        <v>91</v>
      </c>
      <c r="B79" s="119">
        <v>54881.327452966711</v>
      </c>
      <c r="C79" s="9" t="s">
        <v>62</v>
      </c>
      <c r="D79" s="21">
        <v>9.5179640037485941E-2</v>
      </c>
      <c r="E79" s="10">
        <v>0.19374177513294266</v>
      </c>
      <c r="F79" s="14">
        <v>0.14604177513294267</v>
      </c>
      <c r="G79" s="14">
        <v>0.25</v>
      </c>
      <c r="H79" s="15" t="s">
        <v>51</v>
      </c>
      <c r="I79" s="60">
        <f t="shared" si="17"/>
        <v>8.3935822863818055E-3</v>
      </c>
      <c r="J79" s="60">
        <f t="shared" si="18"/>
        <v>7.9889814064283845E-4</v>
      </c>
      <c r="K79" s="60">
        <f t="shared" si="19"/>
        <v>1.6261875318880346E-3</v>
      </c>
      <c r="L79" s="60">
        <f t="shared" si="20"/>
        <v>1.2258136568276225E-3</v>
      </c>
      <c r="M79" s="60">
        <f t="shared" si="21"/>
        <v>2.0983955715954514E-3</v>
      </c>
    </row>
    <row r="80" spans="1:13" s="38" customFormat="1" ht="16">
      <c r="A80" s="8" t="s">
        <v>92</v>
      </c>
      <c r="B80" s="119">
        <v>2185821.6489438605</v>
      </c>
      <c r="C80" s="9" t="s">
        <v>79</v>
      </c>
      <c r="D80" s="21">
        <v>2.3822871125716225E-2</v>
      </c>
      <c r="E80" s="10">
        <v>8.425334677240516E-2</v>
      </c>
      <c r="F80" s="14">
        <v>3.6553346772405161E-2</v>
      </c>
      <c r="G80" s="14">
        <v>0.34</v>
      </c>
      <c r="H80" s="15" t="s">
        <v>51</v>
      </c>
      <c r="I80" s="60">
        <f t="shared" si="17"/>
        <v>0.33430084010792788</v>
      </c>
      <c r="J80" s="60">
        <f t="shared" si="18"/>
        <v>7.9640058311098317E-3</v>
      </c>
      <c r="K80" s="60">
        <f t="shared" si="19"/>
        <v>2.8165964607919619E-2</v>
      </c>
      <c r="L80" s="60">
        <f t="shared" si="20"/>
        <v>1.2219814534771459E-2</v>
      </c>
      <c r="M80" s="60">
        <f t="shared" si="21"/>
        <v>0.11366228563669549</v>
      </c>
    </row>
    <row r="81" spans="1:13" s="38" customFormat="1" ht="16">
      <c r="A81" s="8" t="s">
        <v>96</v>
      </c>
      <c r="B81" s="119">
        <v>330267.13737159228</v>
      </c>
      <c r="C81" s="9" t="s">
        <v>42</v>
      </c>
      <c r="D81" s="21">
        <v>8.0528015072843552E-3</v>
      </c>
      <c r="E81" s="10">
        <v>6.0056060880813007E-2</v>
      </c>
      <c r="F81" s="14">
        <v>1.2356060880813008E-2</v>
      </c>
      <c r="G81" s="14">
        <v>0.27</v>
      </c>
      <c r="H81" s="15" t="s">
        <v>51</v>
      </c>
      <c r="I81" s="60">
        <f t="shared" si="17"/>
        <v>5.0511248956066769E-2</v>
      </c>
      <c r="J81" s="60">
        <f t="shared" si="18"/>
        <v>4.0675706172822978E-4</v>
      </c>
      <c r="K81" s="60">
        <f t="shared" si="19"/>
        <v>3.0335066424714485E-3</v>
      </c>
      <c r="L81" s="60">
        <f t="shared" si="20"/>
        <v>6.2412006726706348E-4</v>
      </c>
      <c r="M81" s="60">
        <f t="shared" si="21"/>
        <v>1.3638037218138029E-2</v>
      </c>
    </row>
    <row r="82" spans="1:13" s="38" customFormat="1" ht="16">
      <c r="A82" s="8" t="s">
        <v>50</v>
      </c>
      <c r="B82" s="119">
        <v>418818.15487927111</v>
      </c>
      <c r="C82" s="9" t="s">
        <v>124</v>
      </c>
      <c r="D82" s="21">
        <v>2.091491502586354E-2</v>
      </c>
      <c r="E82" s="10">
        <v>7.979143589877824E-2</v>
      </c>
      <c r="F82" s="14">
        <v>3.2091435898778241E-2</v>
      </c>
      <c r="G82" s="14">
        <v>0.35</v>
      </c>
      <c r="H82" s="15" t="s">
        <v>51</v>
      </c>
      <c r="I82" s="60">
        <f t="shared" si="17"/>
        <v>6.4054293311736052E-2</v>
      </c>
      <c r="J82" s="60">
        <f t="shared" si="18"/>
        <v>1.3396901016566988E-3</v>
      </c>
      <c r="K82" s="60">
        <f t="shared" si="19"/>
        <v>5.1109840388249266E-3</v>
      </c>
      <c r="L82" s="60">
        <f t="shared" si="20"/>
        <v>2.0555942478551175E-3</v>
      </c>
      <c r="M82" s="60">
        <f t="shared" si="21"/>
        <v>2.2419002659107616E-2</v>
      </c>
    </row>
    <row r="83" spans="1:13" s="38" customFormat="1" ht="16">
      <c r="A83" s="8" t="s">
        <v>56</v>
      </c>
      <c r="B83" s="119">
        <v>95350.423176596218</v>
      </c>
      <c r="C83" s="9" t="s">
        <v>80</v>
      </c>
      <c r="D83" s="21">
        <v>2.863218313701105E-2</v>
      </c>
      <c r="E83" s="10">
        <v>9.1632660909557379E-2</v>
      </c>
      <c r="F83" s="14">
        <v>4.3932660909557379E-2</v>
      </c>
      <c r="G83" s="14">
        <v>0.3</v>
      </c>
      <c r="H83" s="15" t="s">
        <v>51</v>
      </c>
      <c r="I83" s="60">
        <f t="shared" si="17"/>
        <v>1.4582949431388504E-2</v>
      </c>
      <c r="J83" s="60">
        <f t="shared" si="18"/>
        <v>4.1754167879728683E-4</v>
      </c>
      <c r="K83" s="60">
        <f t="shared" si="19"/>
        <v>1.3362744603076454E-3</v>
      </c>
      <c r="L83" s="60">
        <f t="shared" si="20"/>
        <v>6.4066777243041372E-4</v>
      </c>
      <c r="M83" s="60">
        <f t="shared" si="21"/>
        <v>4.374884829416551E-3</v>
      </c>
    </row>
    <row r="84" spans="1:13" s="38" customFormat="1" ht="16">
      <c r="A84" s="8" t="s">
        <v>104</v>
      </c>
      <c r="B84" s="119">
        <v>124676.0747</v>
      </c>
      <c r="C84" s="9" t="s">
        <v>62</v>
      </c>
      <c r="D84" s="21">
        <v>9.5179640037485941E-2</v>
      </c>
      <c r="E84" s="10">
        <v>0.19374177513294266</v>
      </c>
      <c r="F84" s="14">
        <v>0.14604177513294267</v>
      </c>
      <c r="G84" s="14">
        <v>0.25</v>
      </c>
      <c r="H84" s="15" t="s">
        <v>51</v>
      </c>
      <c r="I84" s="60">
        <f t="shared" si="17"/>
        <v>1.9068031709589515E-2</v>
      </c>
      <c r="J84" s="60">
        <f t="shared" si="18"/>
        <v>1.8148883943420976E-3</v>
      </c>
      <c r="K84" s="60">
        <f t="shared" si="19"/>
        <v>3.6942743117071119E-3</v>
      </c>
      <c r="L84" s="60">
        <f t="shared" si="20"/>
        <v>2.7847291991596923E-3</v>
      </c>
      <c r="M84" s="60">
        <f t="shared" si="21"/>
        <v>4.7670079273973787E-3</v>
      </c>
    </row>
    <row r="85" spans="1:13" s="38" customFormat="1" ht="16">
      <c r="A85" s="8" t="s">
        <v>31</v>
      </c>
      <c r="B85" s="119">
        <v>35364.959999999999</v>
      </c>
      <c r="C85" s="9" t="s">
        <v>78</v>
      </c>
      <c r="D85" s="21">
        <v>6.1849989354559008E-2</v>
      </c>
      <c r="E85" s="10">
        <v>0.14260141204291102</v>
      </c>
      <c r="F85" s="14">
        <v>9.4901412042911026E-2</v>
      </c>
      <c r="G85" s="14">
        <v>0.3</v>
      </c>
      <c r="H85" s="15" t="s">
        <v>51</v>
      </c>
      <c r="I85" s="60">
        <f t="shared" si="17"/>
        <v>5.4087376452217157E-3</v>
      </c>
      <c r="J85" s="60">
        <f t="shared" si="18"/>
        <v>3.3453036577856568E-4</v>
      </c>
      <c r="K85" s="60">
        <f t="shared" si="19"/>
        <v>7.7129362557826621E-4</v>
      </c>
      <c r="L85" s="60">
        <f t="shared" si="20"/>
        <v>5.1329683990119037E-4</v>
      </c>
      <c r="M85" s="60">
        <f t="shared" si="21"/>
        <v>1.6226212935665147E-3</v>
      </c>
    </row>
    <row r="86" spans="1:13" s="38" customFormat="1" ht="16">
      <c r="A86" s="8" t="s">
        <v>107</v>
      </c>
      <c r="B86" s="119">
        <v>113199.58115820274</v>
      </c>
      <c r="C86" s="9" t="s">
        <v>79</v>
      </c>
      <c r="D86" s="21">
        <v>2.3822871125716225E-2</v>
      </c>
      <c r="E86" s="10">
        <v>8.425334677240516E-2</v>
      </c>
      <c r="F86" s="14">
        <v>3.6553346772405161E-2</v>
      </c>
      <c r="G86" s="14">
        <v>0.25</v>
      </c>
      <c r="H86" s="15" t="s">
        <v>51</v>
      </c>
      <c r="I86" s="60">
        <f t="shared" si="17"/>
        <v>1.7312810081891852E-2</v>
      </c>
      <c r="J86" s="60">
        <f t="shared" si="18"/>
        <v>4.1244084340491018E-4</v>
      </c>
      <c r="K86" s="60">
        <f t="shared" si="19"/>
        <v>1.4586621914344264E-3</v>
      </c>
      <c r="L86" s="60">
        <f t="shared" si="20"/>
        <v>6.3284115052818506E-4</v>
      </c>
      <c r="M86" s="60">
        <f t="shared" si="21"/>
        <v>4.3282025204729631E-3</v>
      </c>
    </row>
    <row r="87" spans="1:13" s="38" customFormat="1" ht="16">
      <c r="A87" s="8" t="s">
        <v>108</v>
      </c>
      <c r="B87" s="119">
        <v>37093.565854043678</v>
      </c>
      <c r="C87" s="9" t="s">
        <v>48</v>
      </c>
      <c r="D87" s="21">
        <v>4.2836430240137613E-2</v>
      </c>
      <c r="E87" s="10">
        <v>0.1134273794076581</v>
      </c>
      <c r="F87" s="14">
        <v>6.572737940765809E-2</v>
      </c>
      <c r="G87" s="14">
        <v>0.3</v>
      </c>
      <c r="H87" s="15" t="s">
        <v>51</v>
      </c>
      <c r="I87" s="60">
        <f t="shared" si="17"/>
        <v>5.6731116345183725E-3</v>
      </c>
      <c r="J87" s="60">
        <f t="shared" si="18"/>
        <v>2.4301585077655933E-4</v>
      </c>
      <c r="K87" s="60">
        <f t="shared" si="19"/>
        <v>6.4348618579051478E-4</v>
      </c>
      <c r="L87" s="60">
        <f t="shared" si="20"/>
        <v>3.7287876082398838E-4</v>
      </c>
      <c r="M87" s="60">
        <f t="shared" si="21"/>
        <v>1.7019334903555117E-3</v>
      </c>
    </row>
    <row r="88" spans="1:13" s="38" customFormat="1" ht="16">
      <c r="A88" s="8" t="s">
        <v>16</v>
      </c>
      <c r="B88" s="119">
        <v>1856365.6161659381</v>
      </c>
      <c r="C88" s="9" t="s">
        <v>83</v>
      </c>
      <c r="D88" s="21">
        <v>1.8118803391389805E-2</v>
      </c>
      <c r="E88" s="10">
        <v>7.5501136981829281E-2</v>
      </c>
      <c r="F88" s="14">
        <v>2.7801136981829278E-2</v>
      </c>
      <c r="G88" s="14">
        <v>0.3</v>
      </c>
      <c r="H88" s="15" t="s">
        <v>51</v>
      </c>
      <c r="I88" s="60">
        <f t="shared" si="17"/>
        <v>0.28391364196232421</v>
      </c>
      <c r="J88" s="60">
        <f t="shared" si="18"/>
        <v>5.1441754588487905E-3</v>
      </c>
      <c r="K88" s="60">
        <f t="shared" si="19"/>
        <v>2.1435802772807475E-2</v>
      </c>
      <c r="L88" s="60">
        <f t="shared" si="20"/>
        <v>7.8931220512046089E-3</v>
      </c>
      <c r="M88" s="60">
        <f t="shared" si="21"/>
        <v>8.5174092588697264E-2</v>
      </c>
    </row>
    <row r="89" spans="1:13" s="38" customFormat="1" ht="16">
      <c r="A89" s="8" t="s">
        <v>22</v>
      </c>
      <c r="B89" s="119">
        <v>19693.982967592558</v>
      </c>
      <c r="C89" s="9" t="s">
        <v>49</v>
      </c>
      <c r="D89" s="21">
        <v>5.2343209797348314E-2</v>
      </c>
      <c r="E89" s="10">
        <v>0.12801439572528456</v>
      </c>
      <c r="F89" s="14">
        <v>8.0314395725284565E-2</v>
      </c>
      <c r="G89" s="14">
        <v>0.3</v>
      </c>
      <c r="H89" s="15" t="s">
        <v>51</v>
      </c>
      <c r="I89" s="60">
        <f t="shared" si="17"/>
        <v>3.0120092617430686E-3</v>
      </c>
      <c r="J89" s="60">
        <f t="shared" si="18"/>
        <v>1.5765823269897364E-4</v>
      </c>
      <c r="K89" s="60">
        <f t="shared" si="19"/>
        <v>3.8558054556099938E-4</v>
      </c>
      <c r="L89" s="60">
        <f t="shared" si="20"/>
        <v>2.4190770377585503E-4</v>
      </c>
      <c r="M89" s="60">
        <f t="shared" si="21"/>
        <v>9.0360277852292049E-4</v>
      </c>
    </row>
    <row r="90" spans="1:13" s="38" customFormat="1" ht="16">
      <c r="A90" s="8" t="s">
        <v>26</v>
      </c>
      <c r="B90" s="119">
        <v>86523.959131747193</v>
      </c>
      <c r="C90" s="9" t="s">
        <v>124</v>
      </c>
      <c r="D90" s="21">
        <v>2.091491502586354E-2</v>
      </c>
      <c r="E90" s="10">
        <v>7.979143589877824E-2</v>
      </c>
      <c r="F90" s="14">
        <v>3.2091435898778241E-2</v>
      </c>
      <c r="G90" s="14">
        <v>0.25</v>
      </c>
      <c r="H90" s="15" t="s">
        <v>51</v>
      </c>
      <c r="I90" s="60">
        <f t="shared" si="17"/>
        <v>1.3233024863297069E-2</v>
      </c>
      <c r="J90" s="60">
        <f t="shared" si="18"/>
        <v>2.7676759055099767E-4</v>
      </c>
      <c r="K90" s="60">
        <f t="shared" si="19"/>
        <v>1.0558820551267068E-3</v>
      </c>
      <c r="L90" s="60">
        <f t="shared" si="20"/>
        <v>4.2466676914743658E-4</v>
      </c>
      <c r="M90" s="60">
        <f t="shared" si="21"/>
        <v>3.3082562158242672E-3</v>
      </c>
    </row>
    <row r="91" spans="1:13" s="38" customFormat="1" ht="16">
      <c r="A91" s="8" t="s">
        <v>27</v>
      </c>
      <c r="B91" s="119">
        <v>44458.118397444545</v>
      </c>
      <c r="C91" s="9" t="s">
        <v>124</v>
      </c>
      <c r="D91" s="21">
        <v>2.091491502586354E-2</v>
      </c>
      <c r="E91" s="10">
        <v>7.979143589877824E-2</v>
      </c>
      <c r="F91" s="14">
        <v>3.2091435898778241E-2</v>
      </c>
      <c r="G91" s="14">
        <v>0.1</v>
      </c>
      <c r="H91" s="15" t="s">
        <v>51</v>
      </c>
      <c r="I91" s="60">
        <f t="shared" si="17"/>
        <v>6.7994506034216489E-3</v>
      </c>
      <c r="J91" s="60">
        <f t="shared" si="18"/>
        <v>1.4220993159312035E-4</v>
      </c>
      <c r="K91" s="60">
        <f t="shared" si="19"/>
        <v>5.4253792696982756E-4</v>
      </c>
      <c r="L91" s="60">
        <f t="shared" si="20"/>
        <v>2.1820413318661487E-4</v>
      </c>
      <c r="M91" s="60">
        <f t="shared" si="21"/>
        <v>6.7994506034216491E-4</v>
      </c>
    </row>
    <row r="92" spans="1:13" s="38" customFormat="1" ht="16">
      <c r="A92" s="8" t="s">
        <v>28</v>
      </c>
      <c r="B92" s="119">
        <v>289221.9690629408</v>
      </c>
      <c r="C92" s="9" t="s">
        <v>82</v>
      </c>
      <c r="D92" s="21">
        <v>1.5210847291537115E-2</v>
      </c>
      <c r="E92" s="10">
        <v>7.1039226108202347E-2</v>
      </c>
      <c r="F92" s="14">
        <v>2.3339226108202347E-2</v>
      </c>
      <c r="G92" s="14">
        <v>0.29499999999999998</v>
      </c>
      <c r="H92" s="15" t="s">
        <v>51</v>
      </c>
      <c r="I92" s="60">
        <f t="shared" si="17"/>
        <v>4.4233776933322658E-2</v>
      </c>
      <c r="J92" s="60">
        <f t="shared" si="18"/>
        <v>6.7283322606068782E-4</v>
      </c>
      <c r="K92" s="60">
        <f t="shared" si="19"/>
        <v>3.1423332811860937E-3</v>
      </c>
      <c r="L92" s="60">
        <f t="shared" si="20"/>
        <v>1.0323821214666029E-3</v>
      </c>
      <c r="M92" s="60">
        <f t="shared" si="21"/>
        <v>1.3048964195330184E-2</v>
      </c>
    </row>
    <row r="93" spans="1:13" s="38" customFormat="1" ht="16">
      <c r="A93" s="8" t="s">
        <v>33</v>
      </c>
      <c r="B93" s="119">
        <v>4416.7751120962666</v>
      </c>
      <c r="C93" s="9" t="s">
        <v>100</v>
      </c>
      <c r="D93" s="21">
        <v>7.1356768911769716E-2</v>
      </c>
      <c r="E93" s="10">
        <v>0.15718842836053751</v>
      </c>
      <c r="F93" s="14">
        <v>0.10948842836053752</v>
      </c>
      <c r="G93" s="14">
        <v>0.36</v>
      </c>
      <c r="H93" s="15" t="s">
        <v>51</v>
      </c>
      <c r="I93" s="60">
        <f t="shared" si="17"/>
        <v>6.7550416625025006E-4</v>
      </c>
      <c r="J93" s="60">
        <f t="shared" si="18"/>
        <v>4.8201794690056763E-5</v>
      </c>
      <c r="K93" s="60">
        <f t="shared" si="19"/>
        <v>1.0618143824387205E-4</v>
      </c>
      <c r="L93" s="60">
        <f t="shared" si="20"/>
        <v>7.3959889513735132E-5</v>
      </c>
      <c r="M93" s="60">
        <f t="shared" si="21"/>
        <v>2.4318149985009E-4</v>
      </c>
    </row>
    <row r="94" spans="1:13" s="38" customFormat="1" ht="16">
      <c r="A94" s="8" t="s">
        <v>69</v>
      </c>
      <c r="B94" s="119">
        <v>80961.511073579648</v>
      </c>
      <c r="C94" s="9" t="s">
        <v>82</v>
      </c>
      <c r="D94" s="21">
        <v>1.5210847291537115E-2</v>
      </c>
      <c r="E94" s="10">
        <v>7.1039226108202347E-2</v>
      </c>
      <c r="F94" s="14">
        <v>2.3339226108202347E-2</v>
      </c>
      <c r="G94" s="14">
        <v>0.25</v>
      </c>
      <c r="H94" s="15" t="s">
        <v>51</v>
      </c>
      <c r="I94" s="60">
        <f t="shared" si="17"/>
        <v>1.2382300807287923E-2</v>
      </c>
      <c r="J94" s="60">
        <f t="shared" si="18"/>
        <v>1.8834528669753334E-4</v>
      </c>
      <c r="K94" s="60">
        <f t="shared" si="19"/>
        <v>8.7962906678870319E-4</v>
      </c>
      <c r="L94" s="60">
        <f t="shared" si="20"/>
        <v>2.8899331828106928E-4</v>
      </c>
      <c r="M94" s="60">
        <f t="shared" si="21"/>
        <v>3.0955752018219807E-3</v>
      </c>
    </row>
    <row r="95" spans="1:13" s="38" customFormat="1" ht="16">
      <c r="A95" s="8" t="s">
        <v>70</v>
      </c>
      <c r="B95" s="119">
        <v>119802.96325778269</v>
      </c>
      <c r="C95" s="9" t="s">
        <v>137</v>
      </c>
      <c r="D95" s="21">
        <v>0.17499999999999999</v>
      </c>
      <c r="E95" s="10">
        <v>0.31621657180253437</v>
      </c>
      <c r="F95" s="14">
        <v>0.26851657180253435</v>
      </c>
      <c r="G95" s="14">
        <v>0.34</v>
      </c>
      <c r="H95" s="15" t="s">
        <v>51</v>
      </c>
      <c r="I95" s="60">
        <f t="shared" si="17"/>
        <v>1.8322735198385162E-2</v>
      </c>
      <c r="J95" s="60">
        <f t="shared" si="18"/>
        <v>3.2064786597174031E-3</v>
      </c>
      <c r="K95" s="60">
        <f t="shared" si="19"/>
        <v>5.7939525104789853E-3</v>
      </c>
      <c r="L95" s="60">
        <f t="shared" si="20"/>
        <v>4.9199580415160132E-3</v>
      </c>
      <c r="M95" s="60">
        <f t="shared" si="21"/>
        <v>6.229729967450956E-3</v>
      </c>
    </row>
    <row r="96" spans="1:13" s="32" customFormat="1" ht="16">
      <c r="A96" s="58" t="s">
        <v>51</v>
      </c>
      <c r="B96" s="53">
        <f>SUM(B77:B95)</f>
        <v>6538486.8558456972</v>
      </c>
      <c r="C96" s="53"/>
      <c r="D96" s="54">
        <f>SUM(J77:J95)</f>
        <v>3.0570103834573994E-2</v>
      </c>
      <c r="E96" s="260">
        <f>F96+'ERPs by country'!E3</f>
        <v>9.4606168464613241E-2</v>
      </c>
      <c r="F96" s="54">
        <f>SUM(L77:L95)</f>
        <v>4.6906168464613242E-2</v>
      </c>
      <c r="G96" s="54">
        <f>SUM(M77:M95)</f>
        <v>0.31546691365656965</v>
      </c>
      <c r="H96" s="58"/>
      <c r="I96" s="61">
        <f>SUM(I77:I95)</f>
        <v>0.99999999999999978</v>
      </c>
    </row>
    <row r="97" spans="1:13" s="38" customFormat="1" ht="16">
      <c r="A97" s="8" t="s">
        <v>4</v>
      </c>
      <c r="B97" s="119">
        <v>27046.429296667295</v>
      </c>
      <c r="C97" s="9" t="s">
        <v>81</v>
      </c>
      <c r="D97" s="21">
        <v>3.4224406405958516E-2</v>
      </c>
      <c r="E97" s="10">
        <v>0.1002132587434553</v>
      </c>
      <c r="F97" s="14">
        <v>5.2513258743455297E-2</v>
      </c>
      <c r="G97" s="14">
        <v>0.15</v>
      </c>
      <c r="H97" s="15" t="s">
        <v>125</v>
      </c>
      <c r="I97" s="60">
        <f t="shared" ref="I97:I122" si="22">B97/$B$123</f>
        <v>7.7464144259078082E-3</v>
      </c>
      <c r="J97" s="60">
        <f t="shared" ref="J97:J121" si="23">I97*D97</f>
        <v>2.6511643550124864E-4</v>
      </c>
      <c r="K97" s="60">
        <f t="shared" ref="K97:K121" si="24">I97*E97</f>
        <v>7.7629343319753389E-4</v>
      </c>
      <c r="L97" s="60">
        <f t="shared" ref="L97:L121" si="25">I97*F97</f>
        <v>4.0678946508173144E-4</v>
      </c>
      <c r="M97" s="60">
        <f t="shared" si="21"/>
        <v>1.1619621638861712E-3</v>
      </c>
    </row>
    <row r="98" spans="1:13" s="38" customFormat="1" ht="16">
      <c r="A98" s="8" t="s">
        <v>19</v>
      </c>
      <c r="B98" s="119">
        <v>25955.275380032082</v>
      </c>
      <c r="C98" s="9" t="s">
        <v>81</v>
      </c>
      <c r="D98" s="21">
        <v>3.4224406405958516E-2</v>
      </c>
      <c r="E98" s="10">
        <v>0.1002132587434553</v>
      </c>
      <c r="F98" s="14">
        <v>5.2513258743455297E-2</v>
      </c>
      <c r="G98" s="14">
        <v>0.18</v>
      </c>
      <c r="H98" s="15" t="s">
        <v>125</v>
      </c>
      <c r="I98" s="60">
        <f t="shared" si="22"/>
        <v>7.4338951521805974E-3</v>
      </c>
      <c r="J98" s="60">
        <f t="shared" si="23"/>
        <v>2.5442064886751359E-4</v>
      </c>
      <c r="K98" s="60">
        <f t="shared" si="24"/>
        <v>7.4497485835719221E-4</v>
      </c>
      <c r="L98" s="60">
        <f t="shared" si="25"/>
        <v>3.9037805959817772E-4</v>
      </c>
      <c r="M98" s="60">
        <f t="shared" si="21"/>
        <v>1.3381011273925075E-3</v>
      </c>
    </row>
    <row r="99" spans="1:13" s="38" customFormat="1" ht="16">
      <c r="A99" s="8" t="s">
        <v>20</v>
      </c>
      <c r="B99" s="119">
        <v>74315.882352941175</v>
      </c>
      <c r="C99" s="9" t="s">
        <v>124</v>
      </c>
      <c r="D99" s="21">
        <v>2.091491502586354E-2</v>
      </c>
      <c r="E99" s="10">
        <v>7.979143589877824E-2</v>
      </c>
      <c r="F99" s="14">
        <v>3.2091435898778241E-2</v>
      </c>
      <c r="G99" s="14">
        <v>0.2</v>
      </c>
      <c r="H99" s="15" t="s">
        <v>125</v>
      </c>
      <c r="I99" s="60">
        <f t="shared" si="22"/>
        <v>2.1284939938590246E-2</v>
      </c>
      <c r="J99" s="60">
        <f t="shared" si="23"/>
        <v>4.4517271014622413E-4</v>
      </c>
      <c r="K99" s="60">
        <f t="shared" si="24"/>
        <v>1.6983559207193685E-3</v>
      </c>
      <c r="L99" s="60">
        <f t="shared" si="25"/>
        <v>6.8306428564861375E-4</v>
      </c>
      <c r="M99" s="60">
        <f t="shared" si="21"/>
        <v>4.2569879877180491E-3</v>
      </c>
    </row>
    <row r="100" spans="1:13" s="38" customFormat="1" ht="16">
      <c r="A100" s="8" t="s">
        <v>5</v>
      </c>
      <c r="B100" s="119">
        <v>75961.865471912926</v>
      </c>
      <c r="C100" s="9" t="s">
        <v>137</v>
      </c>
      <c r="D100" s="21">
        <v>0.17499999999999999</v>
      </c>
      <c r="E100" s="10">
        <v>0.31621657180253437</v>
      </c>
      <c r="F100" s="14">
        <v>0.26851657180253435</v>
      </c>
      <c r="G100" s="14">
        <v>0.25</v>
      </c>
      <c r="H100" s="15" t="s">
        <v>125</v>
      </c>
      <c r="I100" s="60">
        <f t="shared" si="22"/>
        <v>2.1756368800335581E-2</v>
      </c>
      <c r="J100" s="60">
        <f t="shared" si="23"/>
        <v>3.8073645400587262E-3</v>
      </c>
      <c r="K100" s="60">
        <f t="shared" si="24"/>
        <v>6.8797243569137349E-3</v>
      </c>
      <c r="L100" s="60">
        <f t="shared" si="25"/>
        <v>5.8419455651377268E-3</v>
      </c>
      <c r="M100" s="60">
        <f t="shared" si="21"/>
        <v>5.4390922000838952E-3</v>
      </c>
    </row>
    <row r="101" spans="1:13" s="38" customFormat="1" ht="16">
      <c r="A101" s="8" t="s">
        <v>7</v>
      </c>
      <c r="B101" s="119">
        <v>29613.57202289933</v>
      </c>
      <c r="C101" s="9" t="s">
        <v>78</v>
      </c>
      <c r="D101" s="21">
        <v>6.1849989354559008E-2</v>
      </c>
      <c r="E101" s="10">
        <v>0.14260141204291102</v>
      </c>
      <c r="F101" s="14">
        <v>9.4901412042911026E-2</v>
      </c>
      <c r="G101" s="14">
        <v>0.1</v>
      </c>
      <c r="H101" s="15" t="s">
        <v>125</v>
      </c>
      <c r="I101" s="60">
        <f t="shared" si="22"/>
        <v>8.4816741982689063E-3</v>
      </c>
      <c r="J101" s="60">
        <f t="shared" si="23"/>
        <v>5.2459145887176972E-4</v>
      </c>
      <c r="K101" s="60">
        <f t="shared" si="24"/>
        <v>1.2094987171610712E-3</v>
      </c>
      <c r="L101" s="60">
        <f t="shared" si="25"/>
        <v>8.0492285790364452E-4</v>
      </c>
      <c r="M101" s="60">
        <f t="shared" si="21"/>
        <v>8.4816741982689063E-4</v>
      </c>
    </row>
    <row r="102" spans="1:13" s="38" customFormat="1" ht="16">
      <c r="A102" s="8" t="s">
        <v>94</v>
      </c>
      <c r="B102" s="119">
        <v>113343.3557799852</v>
      </c>
      <c r="C102" s="9" t="s">
        <v>82</v>
      </c>
      <c r="D102" s="21">
        <v>1.5210847291537115E-2</v>
      </c>
      <c r="E102" s="10">
        <v>7.1039226108202347E-2</v>
      </c>
      <c r="F102" s="14">
        <v>2.3339226108202347E-2</v>
      </c>
      <c r="G102" s="14">
        <v>0.1</v>
      </c>
      <c r="H102" s="15" t="s">
        <v>125</v>
      </c>
      <c r="I102" s="60">
        <f t="shared" si="22"/>
        <v>3.2462865861670978E-2</v>
      </c>
      <c r="J102" s="60">
        <f t="shared" si="23"/>
        <v>4.937876952675307E-4</v>
      </c>
      <c r="K102" s="60">
        <f t="shared" si="24"/>
        <v>2.3061368680674875E-3</v>
      </c>
      <c r="L102" s="60">
        <f t="shared" si="25"/>
        <v>7.5765816646578194E-4</v>
      </c>
      <c r="M102" s="60">
        <f t="shared" si="21"/>
        <v>3.2462865861670981E-3</v>
      </c>
    </row>
    <row r="103" spans="1:13" s="38" customFormat="1" ht="16">
      <c r="A103" s="8" t="s">
        <v>98</v>
      </c>
      <c r="B103" s="119">
        <v>92983.810328908847</v>
      </c>
      <c r="C103" s="9" t="s">
        <v>43</v>
      </c>
      <c r="D103" s="21">
        <v>1.1408135468652839E-2</v>
      </c>
      <c r="E103" s="10">
        <v>6.5204419581151765E-2</v>
      </c>
      <c r="F103" s="14">
        <v>1.7504419581151766E-2</v>
      </c>
      <c r="G103" s="14">
        <v>0.18</v>
      </c>
      <c r="H103" s="15" t="s">
        <v>125</v>
      </c>
      <c r="I103" s="60">
        <f t="shared" si="22"/>
        <v>2.663165336196488E-2</v>
      </c>
      <c r="J103" s="60">
        <f t="shared" si="23"/>
        <v>3.0381750930749918E-4</v>
      </c>
      <c r="K103" s="60">
        <f t="shared" si="24"/>
        <v>1.736501499953349E-3</v>
      </c>
      <c r="L103" s="60">
        <f t="shared" si="25"/>
        <v>4.6617163458762429E-4</v>
      </c>
      <c r="M103" s="60">
        <f t="shared" si="21"/>
        <v>4.7936976051536784E-3</v>
      </c>
    </row>
    <row r="104" spans="1:13" s="38" customFormat="1" ht="16">
      <c r="A104" s="8" t="s">
        <v>101</v>
      </c>
      <c r="B104" s="119">
        <v>347034.06292847905</v>
      </c>
      <c r="C104" s="9" t="s">
        <v>46</v>
      </c>
      <c r="D104" s="21">
        <v>5.7040677343264193E-3</v>
      </c>
      <c r="E104" s="10">
        <v>5.6452209790575886E-2</v>
      </c>
      <c r="F104" s="14">
        <v>8.7522097905758829E-3</v>
      </c>
      <c r="G104" s="14">
        <v>0.21</v>
      </c>
      <c r="H104" s="15" t="s">
        <v>125</v>
      </c>
      <c r="I104" s="60">
        <f t="shared" si="22"/>
        <v>9.9394624032009327E-2</v>
      </c>
      <c r="J104" s="60">
        <f t="shared" si="23"/>
        <v>5.669536679064897E-4</v>
      </c>
      <c r="K104" s="60">
        <f t="shared" si="24"/>
        <v>5.6110461679104058E-3</v>
      </c>
      <c r="L104" s="60">
        <f t="shared" si="25"/>
        <v>8.6992260158356093E-4</v>
      </c>
      <c r="M104" s="60">
        <f t="shared" si="21"/>
        <v>2.0872871046721957E-2</v>
      </c>
    </row>
    <row r="105" spans="1:13" s="38" customFormat="1" ht="16">
      <c r="A105" s="8" t="s">
        <v>106</v>
      </c>
      <c r="B105" s="119">
        <v>43130.419829349994</v>
      </c>
      <c r="C105" s="9" t="s">
        <v>41</v>
      </c>
      <c r="D105" s="21">
        <v>6.710667922736965E-3</v>
      </c>
      <c r="E105" s="10">
        <v>5.7996717400677508E-2</v>
      </c>
      <c r="F105" s="14">
        <v>1.0296717400677511E-2</v>
      </c>
      <c r="G105" s="14">
        <v>0.2</v>
      </c>
      <c r="H105" s="15" t="s">
        <v>125</v>
      </c>
      <c r="I105" s="60">
        <f t="shared" si="22"/>
        <v>1.235305787306667E-2</v>
      </c>
      <c r="J105" s="60">
        <f t="shared" si="23"/>
        <v>8.2897269216501823E-5</v>
      </c>
      <c r="K105" s="60">
        <f t="shared" si="24"/>
        <v>7.1643680649846207E-4</v>
      </c>
      <c r="L105" s="60">
        <f t="shared" si="25"/>
        <v>1.2719594595318189E-4</v>
      </c>
      <c r="M105" s="60">
        <f t="shared" si="21"/>
        <v>2.4706115746133341E-3</v>
      </c>
    </row>
    <row r="106" spans="1:13" s="38" customFormat="1" ht="16">
      <c r="A106" s="8" t="s">
        <v>133</v>
      </c>
      <c r="B106" s="119">
        <v>34189.42354499553</v>
      </c>
      <c r="C106" s="9" t="s">
        <v>80</v>
      </c>
      <c r="D106" s="21">
        <v>2.863218313701105E-2</v>
      </c>
      <c r="E106" s="10">
        <v>9.1632660909557379E-2</v>
      </c>
      <c r="F106" s="14">
        <v>4.3932660909557379E-2</v>
      </c>
      <c r="G106" s="14">
        <v>0.15</v>
      </c>
      <c r="H106" s="15" t="s">
        <v>125</v>
      </c>
      <c r="I106" s="60">
        <f t="shared" si="22"/>
        <v>9.7922517186052414E-3</v>
      </c>
      <c r="J106" s="60">
        <f t="shared" si="23"/>
        <v>2.8037354453081648E-4</v>
      </c>
      <c r="K106" s="60">
        <f t="shared" si="24"/>
        <v>8.9729008127198461E-4</v>
      </c>
      <c r="L106" s="60">
        <f t="shared" si="25"/>
        <v>4.3019967429451457E-4</v>
      </c>
      <c r="M106" s="60">
        <f t="shared" si="21"/>
        <v>1.4688377577907862E-3</v>
      </c>
    </row>
    <row r="107" spans="1:13" s="38" customFormat="1" ht="16">
      <c r="A107" s="8" t="s">
        <v>109</v>
      </c>
      <c r="B107" s="119">
        <v>222722.73892564097</v>
      </c>
      <c r="C107" s="9" t="s">
        <v>83</v>
      </c>
      <c r="D107" s="21">
        <v>1.8118803391389805E-2</v>
      </c>
      <c r="E107" s="10">
        <v>7.5501136981829281E-2</v>
      </c>
      <c r="F107" s="14">
        <v>2.7801136981829278E-2</v>
      </c>
      <c r="G107" s="14">
        <v>0.09</v>
      </c>
      <c r="H107" s="15" t="s">
        <v>125</v>
      </c>
      <c r="I107" s="60">
        <f t="shared" si="22"/>
        <v>6.3790403489745628E-2</v>
      </c>
      <c r="J107" s="60">
        <f t="shared" si="23"/>
        <v>1.1558057790881271E-3</v>
      </c>
      <c r="K107" s="60">
        <f t="shared" si="24"/>
        <v>4.8162479920054449E-3</v>
      </c>
      <c r="L107" s="60">
        <f t="shared" si="25"/>
        <v>1.7734457455445786E-3</v>
      </c>
      <c r="M107" s="60">
        <f t="shared" si="21"/>
        <v>5.7411363140771063E-3</v>
      </c>
    </row>
    <row r="108" spans="1:13" s="38" customFormat="1" ht="16">
      <c r="A108" s="8" t="s">
        <v>118</v>
      </c>
      <c r="B108" s="119">
        <v>291480.27464882593</v>
      </c>
      <c r="C108" s="9" t="s">
        <v>82</v>
      </c>
      <c r="D108" s="21">
        <v>1.5210847291537115E-2</v>
      </c>
      <c r="E108" s="10">
        <v>7.1039226108202347E-2</v>
      </c>
      <c r="F108" s="14">
        <v>2.3339226108202347E-2</v>
      </c>
      <c r="G108" s="14">
        <v>0.2</v>
      </c>
      <c r="H108" s="15" t="s">
        <v>125</v>
      </c>
      <c r="I108" s="60">
        <f t="shared" si="22"/>
        <v>8.3483367791010427E-2</v>
      </c>
      <c r="J108" s="60">
        <f t="shared" si="23"/>
        <v>1.2698527588522878E-3</v>
      </c>
      <c r="K108" s="60">
        <f t="shared" si="24"/>
        <v>5.9305938407798065E-3</v>
      </c>
      <c r="L108" s="60">
        <f t="shared" si="25"/>
        <v>1.9484371971486094E-3</v>
      </c>
      <c r="M108" s="60">
        <f t="shared" si="21"/>
        <v>1.6696673558202087E-2</v>
      </c>
    </row>
    <row r="109" spans="1:13" s="38" customFormat="1" ht="16">
      <c r="A109" s="8" t="s">
        <v>342</v>
      </c>
      <c r="B109" s="119">
        <v>17478.259659262498</v>
      </c>
      <c r="C109" s="9" t="s">
        <v>78</v>
      </c>
      <c r="D109" s="21">
        <v>6.1849989354559008E-2</v>
      </c>
      <c r="E109" s="10">
        <v>0.14260141204291102</v>
      </c>
      <c r="F109" s="14">
        <v>9.4901412042911026E-2</v>
      </c>
      <c r="G109" s="14">
        <v>0.1</v>
      </c>
      <c r="H109" s="15" t="s">
        <v>125</v>
      </c>
      <c r="I109" s="60">
        <f t="shared" si="22"/>
        <v>5.0059784705464598E-3</v>
      </c>
      <c r="J109" s="60">
        <f t="shared" si="23"/>
        <v>3.0961971511245012E-4</v>
      </c>
      <c r="K109" s="60">
        <f t="shared" si="24"/>
        <v>7.1385959855633726E-4</v>
      </c>
      <c r="L109" s="60">
        <f t="shared" si="25"/>
        <v>4.750744255112711E-4</v>
      </c>
      <c r="M109" s="60">
        <f t="shared" si="21"/>
        <v>5.0059784705464602E-4</v>
      </c>
    </row>
    <row r="110" spans="1:13" s="38" customFormat="1" ht="16">
      <c r="A110" s="8" t="s">
        <v>121</v>
      </c>
      <c r="B110" s="119">
        <v>43684.254432360933</v>
      </c>
      <c r="C110" s="9" t="s">
        <v>43</v>
      </c>
      <c r="D110" s="21">
        <v>1.1408135468652839E-2</v>
      </c>
      <c r="E110" s="10">
        <v>6.5204419581151765E-2</v>
      </c>
      <c r="F110" s="14">
        <v>1.7504419581151766E-2</v>
      </c>
      <c r="G110" s="14">
        <v>0.2</v>
      </c>
      <c r="H110" s="15" t="s">
        <v>125</v>
      </c>
      <c r="I110" s="60">
        <f t="shared" si="22"/>
        <v>1.2511682596177885E-2</v>
      </c>
      <c r="J110" s="60">
        <f t="shared" si="23"/>
        <v>1.4273496999798335E-4</v>
      </c>
      <c r="K110" s="60">
        <f t="shared" si="24"/>
        <v>8.15817001667377E-4</v>
      </c>
      <c r="L110" s="60">
        <f t="shared" si="25"/>
        <v>2.1900974182969193E-4</v>
      </c>
      <c r="M110" s="60">
        <f t="shared" si="21"/>
        <v>2.5023365192355772E-3</v>
      </c>
    </row>
    <row r="111" spans="1:13" s="38" customFormat="1" ht="16">
      <c r="A111" s="8" t="s">
        <v>13</v>
      </c>
      <c r="B111" s="119">
        <v>84869.215513364819</v>
      </c>
      <c r="C111" s="9" t="s">
        <v>42</v>
      </c>
      <c r="D111" s="21">
        <v>8.0528015072843552E-3</v>
      </c>
      <c r="E111" s="10">
        <v>6.0056060880813007E-2</v>
      </c>
      <c r="F111" s="14">
        <v>1.2356060880813008E-2</v>
      </c>
      <c r="G111" s="14">
        <v>0.15</v>
      </c>
      <c r="H111" s="15" t="s">
        <v>125</v>
      </c>
      <c r="I111" s="60">
        <f t="shared" si="22"/>
        <v>2.4307538276382306E-2</v>
      </c>
      <c r="J111" s="60">
        <f t="shared" si="23"/>
        <v>1.9574378087042359E-4</v>
      </c>
      <c r="K111" s="60">
        <f t="shared" si="24"/>
        <v>1.4598149985891081E-3</v>
      </c>
      <c r="L111" s="60">
        <f t="shared" si="25"/>
        <v>3.0034542280567224E-4</v>
      </c>
      <c r="M111" s="60">
        <f t="shared" si="21"/>
        <v>3.6461307414573456E-3</v>
      </c>
    </row>
    <row r="112" spans="1:13" s="38" customFormat="1" ht="16">
      <c r="A112" s="8" t="s">
        <v>145</v>
      </c>
      <c r="B112" s="119">
        <v>16951.682245420201</v>
      </c>
      <c r="C112" s="9" t="s">
        <v>81</v>
      </c>
      <c r="D112" s="21">
        <v>3.4224406405958516E-2</v>
      </c>
      <c r="E112" s="10">
        <v>0.1002132587434553</v>
      </c>
      <c r="F112" s="14">
        <v>5.2513258743455297E-2</v>
      </c>
      <c r="G112" s="14">
        <v>0.1</v>
      </c>
      <c r="H112" s="15" t="s">
        <v>125</v>
      </c>
      <c r="I112" s="60">
        <f t="shared" si="22"/>
        <v>4.8551605259593037E-3</v>
      </c>
      <c r="J112" s="60">
        <f t="shared" si="23"/>
        <v>1.661649870065985E-4</v>
      </c>
      <c r="K112" s="60">
        <f t="shared" si="24"/>
        <v>4.8655145802897022E-4</v>
      </c>
      <c r="L112" s="60">
        <f t="shared" si="25"/>
        <v>2.5496030094071141E-4</v>
      </c>
      <c r="M112" s="60">
        <f t="shared" si="21"/>
        <v>4.855160525959304E-4</v>
      </c>
    </row>
    <row r="113" spans="1:13" s="38" customFormat="1" ht="16">
      <c r="A113" s="8" t="s">
        <v>17</v>
      </c>
      <c r="B113" s="119">
        <v>18200.340853651684</v>
      </c>
      <c r="C113" s="9" t="s">
        <v>78</v>
      </c>
      <c r="D113" s="21">
        <v>6.1849989354559008E-2</v>
      </c>
      <c r="E113" s="10">
        <v>0.14260141204291102</v>
      </c>
      <c r="F113" s="14">
        <v>9.4901412042911026E-2</v>
      </c>
      <c r="G113" s="14">
        <v>0.12</v>
      </c>
      <c r="H113" s="15" t="s">
        <v>125</v>
      </c>
      <c r="I113" s="60">
        <f t="shared" si="22"/>
        <v>5.212790989845722E-3</v>
      </c>
      <c r="J113" s="60">
        <f t="shared" si="23"/>
        <v>3.2241106722949903E-4</v>
      </c>
      <c r="K113" s="60">
        <f t="shared" si="24"/>
        <v>7.4335135583656383E-4</v>
      </c>
      <c r="L113" s="60">
        <f t="shared" si="25"/>
        <v>4.9470122562092294E-4</v>
      </c>
      <c r="M113" s="60">
        <f t="shared" si="21"/>
        <v>6.2553491878148662E-4</v>
      </c>
    </row>
    <row r="114" spans="1:13" s="38" customFormat="1" ht="16">
      <c r="A114" s="8" t="s">
        <v>8</v>
      </c>
      <c r="B114" s="119">
        <v>8270.0166708677389</v>
      </c>
      <c r="C114" s="9" t="s">
        <v>48</v>
      </c>
      <c r="D114" s="21">
        <v>4.2836430240137613E-2</v>
      </c>
      <c r="E114" s="10">
        <v>0.1134273794076581</v>
      </c>
      <c r="F114" s="14">
        <v>6.572737940765809E-2</v>
      </c>
      <c r="G114" s="14">
        <v>0.15</v>
      </c>
      <c r="H114" s="15" t="s">
        <v>125</v>
      </c>
      <c r="I114" s="60">
        <f t="shared" si="22"/>
        <v>2.3686297270154571E-3</v>
      </c>
      <c r="J114" s="60">
        <f t="shared" si="23"/>
        <v>1.0146364206601383E-4</v>
      </c>
      <c r="K114" s="60">
        <f t="shared" si="24"/>
        <v>2.6866746272243989E-4</v>
      </c>
      <c r="L114" s="60">
        <f t="shared" si="25"/>
        <v>1.5568382474380257E-4</v>
      </c>
      <c r="M114" s="60">
        <f t="shared" si="21"/>
        <v>3.5529445905231854E-4</v>
      </c>
    </row>
    <row r="115" spans="1:13" s="38" customFormat="1" ht="16">
      <c r="A115" s="8" t="s">
        <v>30</v>
      </c>
      <c r="B115" s="119">
        <v>917767.10614676145</v>
      </c>
      <c r="C115" s="9" t="s">
        <v>42</v>
      </c>
      <c r="D115" s="21">
        <v>8.0528015072843552E-3</v>
      </c>
      <c r="E115" s="10">
        <v>6.0056060880813007E-2</v>
      </c>
      <c r="F115" s="14">
        <v>1.2356060880813008E-2</v>
      </c>
      <c r="G115" s="14">
        <v>0.19</v>
      </c>
      <c r="H115" s="15" t="s">
        <v>125</v>
      </c>
      <c r="I115" s="60">
        <f t="shared" si="22"/>
        <v>0.26285925852530073</v>
      </c>
      <c r="J115" s="60">
        <f t="shared" si="23"/>
        <v>2.1167534332561899E-3</v>
      </c>
      <c r="K115" s="60">
        <f t="shared" si="24"/>
        <v>1.5786291633080825E-2</v>
      </c>
      <c r="L115" s="60">
        <f t="shared" si="25"/>
        <v>3.2479050014239813E-3</v>
      </c>
      <c r="M115" s="60">
        <f t="shared" si="21"/>
        <v>4.994325911980714E-2</v>
      </c>
    </row>
    <row r="116" spans="1:13" s="38" customFormat="1" ht="16">
      <c r="A116" s="8" t="s">
        <v>0</v>
      </c>
      <c r="B116" s="119">
        <v>382564.21798886574</v>
      </c>
      <c r="C116" s="9" t="s">
        <v>124</v>
      </c>
      <c r="D116" s="21">
        <v>2.091491502586354E-2</v>
      </c>
      <c r="E116" s="10">
        <v>7.979143589877824E-2</v>
      </c>
      <c r="F116" s="14">
        <v>3.2091435898778241E-2</v>
      </c>
      <c r="G116" s="14">
        <v>0.16</v>
      </c>
      <c r="H116" s="15" t="s">
        <v>125</v>
      </c>
      <c r="I116" s="60">
        <f t="shared" si="22"/>
        <v>0.10957087697451642</v>
      </c>
      <c r="J116" s="60">
        <f t="shared" si="23"/>
        <v>2.2916655812313591E-3</v>
      </c>
      <c r="K116" s="60">
        <f t="shared" si="24"/>
        <v>8.7428176064850444E-3</v>
      </c>
      <c r="L116" s="60">
        <f t="shared" si="25"/>
        <v>3.5162867748006104E-3</v>
      </c>
      <c r="M116" s="60">
        <f t="shared" si="21"/>
        <v>1.7531340315922628E-2</v>
      </c>
    </row>
    <row r="117" spans="1:13" s="38" customFormat="1" ht="16">
      <c r="A117" s="8" t="s">
        <v>146</v>
      </c>
      <c r="B117" s="119">
        <v>90097.765959111435</v>
      </c>
      <c r="C117" s="9" t="s">
        <v>80</v>
      </c>
      <c r="D117" s="21">
        <v>2.863218313701105E-2</v>
      </c>
      <c r="E117" s="10">
        <v>9.1632660909557379E-2</v>
      </c>
      <c r="F117" s="14">
        <v>4.3932660909557379E-2</v>
      </c>
      <c r="G117" s="14">
        <v>0.15</v>
      </c>
      <c r="H117" s="15" t="s">
        <v>125</v>
      </c>
      <c r="I117" s="60">
        <f t="shared" si="22"/>
        <v>2.5805056420284172E-2</v>
      </c>
      <c r="J117" s="60">
        <f t="shared" si="23"/>
        <v>7.3885510128647916E-4</v>
      </c>
      <c r="K117" s="60">
        <f t="shared" si="24"/>
        <v>2.364585984711896E-3</v>
      </c>
      <c r="L117" s="60">
        <f t="shared" si="25"/>
        <v>1.1336847934643411E-3</v>
      </c>
      <c r="M117" s="60">
        <f t="shared" si="21"/>
        <v>3.8707584630426257E-3</v>
      </c>
    </row>
    <row r="118" spans="1:13" s="38" customFormat="1" ht="16">
      <c r="A118" s="8" t="s">
        <v>61</v>
      </c>
      <c r="B118" s="119">
        <v>140934.07653237498</v>
      </c>
      <c r="C118" s="9" t="s">
        <v>43</v>
      </c>
      <c r="D118" s="21">
        <v>1.1408135468652839E-2</v>
      </c>
      <c r="E118" s="10">
        <v>6.5204419581151765E-2</v>
      </c>
      <c r="F118" s="14">
        <v>1.7504419581151766E-2</v>
      </c>
      <c r="G118" s="14">
        <v>0.21</v>
      </c>
      <c r="H118" s="15" t="s">
        <v>125</v>
      </c>
      <c r="I118" s="60">
        <f t="shared" si="22"/>
        <v>4.0365171741428722E-2</v>
      </c>
      <c r="J118" s="60">
        <f t="shared" si="23"/>
        <v>4.6049134744165628E-4</v>
      </c>
      <c r="K118" s="60">
        <f t="shared" si="24"/>
        <v>2.6319875946933689E-3</v>
      </c>
      <c r="L118" s="60">
        <f t="shared" si="25"/>
        <v>7.0656890262721882E-4</v>
      </c>
      <c r="M118" s="60">
        <f t="shared" si="21"/>
        <v>8.4766860657000311E-3</v>
      </c>
    </row>
    <row r="119" spans="1:13" s="38" customFormat="1" ht="16">
      <c r="A119" s="8" t="s">
        <v>187</v>
      </c>
      <c r="B119" s="119">
        <v>72972.015197385903</v>
      </c>
      <c r="C119" s="9" t="s">
        <v>42</v>
      </c>
      <c r="D119" s="21">
        <v>8.0528015072843552E-3</v>
      </c>
      <c r="E119" s="10">
        <v>6.0056060880813007E-2</v>
      </c>
      <c r="F119" s="14">
        <v>1.2356060880813008E-2</v>
      </c>
      <c r="G119" s="14">
        <v>0.22</v>
      </c>
      <c r="H119" s="15" t="s">
        <v>125</v>
      </c>
      <c r="I119" s="60">
        <f t="shared" si="22"/>
        <v>2.0900040630585114E-2</v>
      </c>
      <c r="J119" s="60">
        <f>I119*D119</f>
        <v>1.6830387869228006E-4</v>
      </c>
      <c r="K119" s="60">
        <f>I119*E119</f>
        <v>1.255174112521885E-3</v>
      </c>
      <c r="L119" s="60">
        <f>I119*F119</f>
        <v>2.5824217444297515E-4</v>
      </c>
      <c r="M119" s="60">
        <f>I119*G119</f>
        <v>4.5980089387287247E-3</v>
      </c>
    </row>
    <row r="120" spans="1:13" s="38" customFormat="1" ht="16">
      <c r="A120" s="8" t="s">
        <v>375</v>
      </c>
      <c r="B120" s="119">
        <v>14204.575548553579</v>
      </c>
      <c r="C120" s="9" t="s">
        <v>49</v>
      </c>
      <c r="D120" s="21">
        <v>5.2343209797348314E-2</v>
      </c>
      <c r="E120" s="10">
        <v>0.12801439572528456</v>
      </c>
      <c r="F120" s="14">
        <v>8.0314395725284565E-2</v>
      </c>
      <c r="G120" s="14">
        <v>0.18</v>
      </c>
      <c r="H120" s="15" t="s">
        <v>125</v>
      </c>
      <c r="I120" s="60">
        <f t="shared" si="22"/>
        <v>4.0683569626239497E-3</v>
      </c>
      <c r="J120" s="60">
        <f>I120*D120</f>
        <v>2.1295086202512814E-4</v>
      </c>
      <c r="K120" s="60">
        <f>I120*E120</f>
        <v>5.2080825816505898E-4</v>
      </c>
      <c r="L120" s="60">
        <f>I120*F120</f>
        <v>3.2674763104789667E-4</v>
      </c>
      <c r="M120" s="60">
        <f>I120*G120</f>
        <v>7.3230425327231092E-4</v>
      </c>
    </row>
    <row r="121" spans="1:13" s="38" customFormat="1" ht="16">
      <c r="A121" s="8" t="s">
        <v>68</v>
      </c>
      <c r="B121" s="119">
        <v>190741.26241470463</v>
      </c>
      <c r="C121" s="9" t="s">
        <v>335</v>
      </c>
      <c r="D121" s="21">
        <v>0.11419319915190733</v>
      </c>
      <c r="E121" s="10">
        <v>0.22291580776819558</v>
      </c>
      <c r="F121" s="14">
        <v>0.17521580776819559</v>
      </c>
      <c r="G121" s="14">
        <v>0.18</v>
      </c>
      <c r="H121" s="15" t="s">
        <v>125</v>
      </c>
      <c r="I121" s="60">
        <f t="shared" si="22"/>
        <v>5.4630533686278591E-2</v>
      </c>
      <c r="J121" s="60">
        <f t="shared" si="23"/>
        <v>6.2384354130121935E-3</v>
      </c>
      <c r="K121" s="60">
        <f t="shared" si="24"/>
        <v>1.2178009545484411E-2</v>
      </c>
      <c r="L121" s="60">
        <f t="shared" si="25"/>
        <v>9.5721330886489233E-3</v>
      </c>
      <c r="M121" s="60">
        <f t="shared" si="21"/>
        <v>9.8334960635301453E-3</v>
      </c>
    </row>
    <row r="122" spans="1:13" s="38" customFormat="1" ht="16">
      <c r="A122" s="8" t="s">
        <v>367</v>
      </c>
      <c r="B122" s="119">
        <v>114965.29346661102</v>
      </c>
      <c r="C122" s="9" t="s">
        <v>81</v>
      </c>
      <c r="D122" s="21">
        <v>3.4224406405958516E-2</v>
      </c>
      <c r="E122" s="10">
        <v>0.1002132587434553</v>
      </c>
      <c r="F122" s="14">
        <v>5.2513258743455297E-2</v>
      </c>
      <c r="G122" s="14">
        <v>0.15</v>
      </c>
      <c r="H122" s="15" t="s">
        <v>125</v>
      </c>
      <c r="I122" s="60">
        <f t="shared" si="22"/>
        <v>3.2927407829698899E-2</v>
      </c>
      <c r="J122" s="60">
        <f>I122*D122</f>
        <v>1.1269209874583555E-3</v>
      </c>
      <c r="K122" s="60">
        <f>I122*E122</f>
        <v>3.2997628405888914E-3</v>
      </c>
      <c r="L122" s="60">
        <f>I122*F122</f>
        <v>1.7291254871122542E-3</v>
      </c>
      <c r="M122" s="60">
        <f>I122*G122</f>
        <v>4.9391111744548346E-3</v>
      </c>
    </row>
    <row r="123" spans="1:13" s="32" customFormat="1" ht="16">
      <c r="A123" s="58" t="s">
        <v>549</v>
      </c>
      <c r="B123" s="140">
        <f>SUM(B97:B122)</f>
        <v>3491477.1931399349</v>
      </c>
      <c r="C123" s="53"/>
      <c r="D123" s="54">
        <f>SUM(J97:J122)</f>
        <v>2.4042668784301349E-2</v>
      </c>
      <c r="E123" s="261">
        <f>F123+'ERPs by country'!E3</f>
        <v>8.4590599993968008E-2</v>
      </c>
      <c r="F123" s="54">
        <f>SUM(L97:L122)</f>
        <v>3.6890599993968015E-2</v>
      </c>
      <c r="G123" s="54">
        <f>SUM(M97:M122)</f>
        <v>0.17637480027426933</v>
      </c>
      <c r="H123" s="58"/>
      <c r="I123" s="61">
        <f>SUM(I97:I122)</f>
        <v>1</v>
      </c>
    </row>
    <row r="124" spans="1:13" s="38" customFormat="1" ht="16">
      <c r="A124" s="8" t="s">
        <v>268</v>
      </c>
      <c r="B124" s="119">
        <v>310000</v>
      </c>
      <c r="C124" s="9" t="s">
        <v>45</v>
      </c>
      <c r="D124" s="21">
        <v>4.6974675459158736E-3</v>
      </c>
      <c r="E124" s="10">
        <v>5.4907702180474256E-2</v>
      </c>
      <c r="F124" s="14">
        <v>7.2077021804742543E-3</v>
      </c>
      <c r="G124" s="14">
        <v>0.09</v>
      </c>
      <c r="H124" s="15" t="s">
        <v>127</v>
      </c>
      <c r="I124" s="60">
        <f t="shared" ref="I124:I136" si="26">B124/$B$137</f>
        <v>8.6956075068498145E-2</v>
      </c>
      <c r="J124" s="60">
        <f t="shared" ref="J124:J136" si="27">I124*D124</f>
        <v>4.0847334055449445E-4</v>
      </c>
      <c r="K124" s="60">
        <f t="shared" ref="K124:K136" si="28">I124*E124</f>
        <v>4.7745582726440583E-3</v>
      </c>
      <c r="L124" s="60">
        <f t="shared" ref="L124:L136" si="29">I124*F124</f>
        <v>6.26753491876697E-4</v>
      </c>
      <c r="M124" s="60">
        <f t="shared" si="21"/>
        <v>7.8260467561648336E-3</v>
      </c>
    </row>
    <row r="125" spans="1:13" s="38" customFormat="1" ht="16">
      <c r="A125" s="8" t="s">
        <v>87</v>
      </c>
      <c r="B125" s="119">
        <v>47109.734308510633</v>
      </c>
      <c r="C125" s="9" t="s">
        <v>49</v>
      </c>
      <c r="D125" s="21">
        <v>5.2343209797348314E-2</v>
      </c>
      <c r="E125" s="10">
        <v>0.12801439572528456</v>
      </c>
      <c r="F125" s="14">
        <v>8.0314395725284565E-2</v>
      </c>
      <c r="G125" s="14">
        <v>0</v>
      </c>
      <c r="H125" s="15" t="s">
        <v>127</v>
      </c>
      <c r="I125" s="60">
        <f t="shared" si="26"/>
        <v>1.3214443848347914E-2</v>
      </c>
      <c r="J125" s="60">
        <f t="shared" si="27"/>
        <v>6.9168640670935365E-4</v>
      </c>
      <c r="K125" s="60">
        <f t="shared" si="28"/>
        <v>1.6916390440919621E-3</v>
      </c>
      <c r="L125" s="60">
        <f t="shared" si="29"/>
        <v>1.0613100725257666E-3</v>
      </c>
      <c r="M125" s="60">
        <f t="shared" si="21"/>
        <v>0</v>
      </c>
    </row>
    <row r="126" spans="1:13" s="38" customFormat="1" ht="16">
      <c r="A126" s="8" t="s">
        <v>323</v>
      </c>
      <c r="B126" s="119">
        <v>279641.25761538465</v>
      </c>
      <c r="C126" s="9" t="s">
        <v>100</v>
      </c>
      <c r="D126" s="21">
        <v>7.1356768911769716E-2</v>
      </c>
      <c r="E126" s="10">
        <v>0.15718842836053751</v>
      </c>
      <c r="F126" s="14">
        <v>0.10948842836053752</v>
      </c>
      <c r="G126" s="14">
        <v>0.15</v>
      </c>
      <c r="H126" s="15" t="s">
        <v>127</v>
      </c>
      <c r="I126" s="60">
        <f>B126/$B$137</f>
        <v>7.8440342546621342E-2</v>
      </c>
      <c r="J126" s="60">
        <f>I126*D126</f>
        <v>5.5972493964593171E-3</v>
      </c>
      <c r="K126" s="60">
        <f>I126*E126</f>
        <v>1.2329914164965611E-2</v>
      </c>
      <c r="L126" s="60">
        <f>I126*F126</f>
        <v>8.5883098254917745E-3</v>
      </c>
      <c r="M126" s="60">
        <f>I126*G126</f>
        <v>1.1766051381993201E-2</v>
      </c>
    </row>
    <row r="127" spans="1:13" s="38" customFormat="1" ht="16">
      <c r="A127" s="8" t="s">
        <v>114</v>
      </c>
      <c r="B127" s="119">
        <v>540379.92126168101</v>
      </c>
      <c r="C127" s="9" t="s">
        <v>82</v>
      </c>
      <c r="D127" s="21">
        <v>1.5210847291537115E-2</v>
      </c>
      <c r="E127" s="10">
        <v>7.1039226108202347E-2</v>
      </c>
      <c r="F127" s="14">
        <v>2.3339226108202347E-2</v>
      </c>
      <c r="G127" s="14">
        <v>0.23</v>
      </c>
      <c r="H127" s="15" t="s">
        <v>127</v>
      </c>
      <c r="I127" s="60">
        <f t="shared" si="26"/>
        <v>0.15157844193141889</v>
      </c>
      <c r="J127" s="60">
        <f t="shared" si="27"/>
        <v>2.3056365329079389E-3</v>
      </c>
      <c r="K127" s="60">
        <f t="shared" si="28"/>
        <v>1.0768015209495087E-2</v>
      </c>
      <c r="L127" s="60">
        <f t="shared" si="29"/>
        <v>3.5377235293664053E-3</v>
      </c>
      <c r="M127" s="60">
        <f t="shared" si="21"/>
        <v>3.486304164422635E-2</v>
      </c>
    </row>
    <row r="128" spans="1:13" s="38" customFormat="1" ht="16">
      <c r="A128" s="8" t="s">
        <v>117</v>
      </c>
      <c r="B128" s="119">
        <v>53352.289577464791</v>
      </c>
      <c r="C128" s="9" t="s">
        <v>81</v>
      </c>
      <c r="D128" s="21">
        <v>3.4224406405958516E-2</v>
      </c>
      <c r="E128" s="10">
        <v>0.1002132587434553</v>
      </c>
      <c r="F128" s="14">
        <v>5.2513258743455297E-2</v>
      </c>
      <c r="G128" s="14">
        <v>0.2</v>
      </c>
      <c r="H128" s="15" t="s">
        <v>127</v>
      </c>
      <c r="I128" s="60">
        <f t="shared" si="26"/>
        <v>1.4965502250239612E-2</v>
      </c>
      <c r="J128" s="60">
        <f t="shared" si="27"/>
        <v>5.121854310814872E-4</v>
      </c>
      <c r="K128" s="60">
        <f t="shared" si="28"/>
        <v>1.4997417492290247E-3</v>
      </c>
      <c r="L128" s="60">
        <f t="shared" si="29"/>
        <v>7.8588729189259525E-4</v>
      </c>
      <c r="M128" s="60">
        <f t="shared" si="21"/>
        <v>2.9931004500479228E-3</v>
      </c>
    </row>
    <row r="129" spans="1:13" s="38" customFormat="1" ht="16">
      <c r="A129" s="8" t="s">
        <v>120</v>
      </c>
      <c r="B129" s="119">
        <v>160227.2730533338</v>
      </c>
      <c r="C129" s="9" t="s">
        <v>41</v>
      </c>
      <c r="D129" s="21">
        <v>6.710667922736965E-3</v>
      </c>
      <c r="E129" s="10">
        <v>5.7996717400677508E-2</v>
      </c>
      <c r="F129" s="14">
        <v>1.0296717400677511E-2</v>
      </c>
      <c r="G129" s="14">
        <v>0.15</v>
      </c>
      <c r="H129" s="15" t="s">
        <v>127</v>
      </c>
      <c r="I129" s="60">
        <f t="shared" si="26"/>
        <v>4.4944305753698212E-2</v>
      </c>
      <c r="J129" s="60">
        <f t="shared" si="27"/>
        <v>3.0160631093102501E-4</v>
      </c>
      <c r="K129" s="60">
        <f t="shared" si="28"/>
        <v>2.6066221995668794E-3</v>
      </c>
      <c r="L129" s="60">
        <f t="shared" si="29"/>
        <v>4.6277881511547474E-4</v>
      </c>
      <c r="M129" s="60">
        <f t="shared" si="21"/>
        <v>6.741645863054732E-3</v>
      </c>
    </row>
    <row r="130" spans="1:13" s="38" customFormat="1" ht="16">
      <c r="A130" s="8" t="s">
        <v>122</v>
      </c>
      <c r="B130" s="119">
        <v>20078.620357</v>
      </c>
      <c r="C130" s="9" t="s">
        <v>137</v>
      </c>
      <c r="D130" s="21">
        <v>0.17499999999999999</v>
      </c>
      <c r="E130" s="10">
        <v>0.31621657180253437</v>
      </c>
      <c r="F130" s="14">
        <v>0.26851657180253435</v>
      </c>
      <c r="G130" s="14">
        <v>0.17</v>
      </c>
      <c r="H130" s="15" t="s">
        <v>127</v>
      </c>
      <c r="I130" s="60">
        <f t="shared" si="26"/>
        <v>5.632122642048926E-3</v>
      </c>
      <c r="J130" s="60">
        <f t="shared" si="27"/>
        <v>9.8562146235856192E-4</v>
      </c>
      <c r="K130" s="60">
        <f t="shared" si="28"/>
        <v>1.7809705138401438E-3</v>
      </c>
      <c r="L130" s="60">
        <f t="shared" si="29"/>
        <v>1.5123182638144099E-3</v>
      </c>
      <c r="M130" s="60">
        <f t="shared" si="21"/>
        <v>9.5746084914831745E-4</v>
      </c>
    </row>
    <row r="131" spans="1:13" s="38" customFormat="1" ht="16">
      <c r="A131" s="8" t="s">
        <v>24</v>
      </c>
      <c r="B131" s="119">
        <v>107137.19876938646</v>
      </c>
      <c r="C131" s="9" t="s">
        <v>124</v>
      </c>
      <c r="D131" s="21">
        <v>2.091491502586354E-2</v>
      </c>
      <c r="E131" s="10">
        <v>7.979143589877824E-2</v>
      </c>
      <c r="F131" s="14">
        <v>3.2091435898778241E-2</v>
      </c>
      <c r="G131" s="14">
        <v>0.15</v>
      </c>
      <c r="H131" s="15" t="s">
        <v>127</v>
      </c>
      <c r="I131" s="60">
        <f t="shared" si="26"/>
        <v>3.0052355802643153E-2</v>
      </c>
      <c r="J131" s="60">
        <f t="shared" si="27"/>
        <v>6.2854246793929858E-4</v>
      </c>
      <c r="K131" s="60">
        <f t="shared" si="28"/>
        <v>2.3979206216338776E-3</v>
      </c>
      <c r="L131" s="60">
        <f t="shared" si="29"/>
        <v>9.6442324984779909E-4</v>
      </c>
      <c r="M131" s="60">
        <f t="shared" si="21"/>
        <v>4.5078533703964731E-3</v>
      </c>
    </row>
    <row r="132" spans="1:13" s="38" customFormat="1" ht="16">
      <c r="A132" s="8" t="s">
        <v>74</v>
      </c>
      <c r="B132" s="119">
        <v>219162.63736263735</v>
      </c>
      <c r="C132" s="9" t="s">
        <v>45</v>
      </c>
      <c r="D132" s="21">
        <v>4.6974675459158736E-3</v>
      </c>
      <c r="E132" s="10">
        <v>5.4907702180474256E-2</v>
      </c>
      <c r="F132" s="14">
        <v>7.2077021804742543E-3</v>
      </c>
      <c r="G132" s="14">
        <v>0.1</v>
      </c>
      <c r="H132" s="15" t="s">
        <v>127</v>
      </c>
      <c r="I132" s="60">
        <f t="shared" si="26"/>
        <v>6.1475879828114616E-2</v>
      </c>
      <c r="J132" s="60">
        <f t="shared" si="27"/>
        <v>2.8878095034919272E-4</v>
      </c>
      <c r="K132" s="60">
        <f t="shared" si="28"/>
        <v>3.3754993008847422E-3</v>
      </c>
      <c r="L132" s="60">
        <f t="shared" si="29"/>
        <v>4.4309983308367493E-4</v>
      </c>
      <c r="M132" s="60">
        <f t="shared" si="21"/>
        <v>6.1475879828114619E-3</v>
      </c>
    </row>
    <row r="133" spans="1:13" s="38" customFormat="1" ht="16">
      <c r="A133" s="8" t="s">
        <v>286</v>
      </c>
      <c r="B133" s="119">
        <v>11000</v>
      </c>
      <c r="C133" s="9" t="s">
        <v>43</v>
      </c>
      <c r="D133" s="21">
        <v>1.1408135468652839E-2</v>
      </c>
      <c r="E133" s="10">
        <v>6.5204419581151765E-2</v>
      </c>
      <c r="F133" s="14">
        <v>1.7504419581151766E-2</v>
      </c>
      <c r="G133" s="14">
        <v>0.18940000000000001</v>
      </c>
      <c r="H133" s="15" t="s">
        <v>127</v>
      </c>
      <c r="I133" s="60">
        <f t="shared" si="26"/>
        <v>3.0855381475918698E-3</v>
      </c>
      <c r="J133" s="60">
        <f t="shared" si="27"/>
        <v>3.5200237181424188E-5</v>
      </c>
      <c r="K133" s="60">
        <f t="shared" si="28"/>
        <v>2.0119072400923005E-4</v>
      </c>
      <c r="L133" s="60">
        <f t="shared" si="29"/>
        <v>5.4010554369097875E-5</v>
      </c>
      <c r="M133" s="60">
        <f t="shared" si="21"/>
        <v>5.8440092515390021E-4</v>
      </c>
    </row>
    <row r="134" spans="1:13" s="38" customFormat="1" ht="16">
      <c r="A134" s="8" t="s">
        <v>2</v>
      </c>
      <c r="B134" s="119">
        <v>1239804.5333333332</v>
      </c>
      <c r="C134" s="9" t="s">
        <v>46</v>
      </c>
      <c r="D134" s="21">
        <v>5.7040677343264193E-3</v>
      </c>
      <c r="E134" s="10">
        <v>5.6452209790575886E-2</v>
      </c>
      <c r="F134" s="14">
        <v>8.7522097905758829E-3</v>
      </c>
      <c r="G134" s="14">
        <v>0.2</v>
      </c>
      <c r="H134" s="15" t="s">
        <v>127</v>
      </c>
      <c r="I134" s="60">
        <f t="shared" si="26"/>
        <v>0.34776947119612145</v>
      </c>
      <c r="J134" s="60">
        <f t="shared" si="27"/>
        <v>1.9837006196335573E-3</v>
      </c>
      <c r="K134" s="60">
        <f t="shared" si="28"/>
        <v>1.9632355146721087E-2</v>
      </c>
      <c r="L134" s="60">
        <f t="shared" si="29"/>
        <v>3.0437513706660915E-3</v>
      </c>
      <c r="M134" s="60">
        <f t="shared" si="21"/>
        <v>6.9553894239224298E-2</v>
      </c>
    </row>
    <row r="135" spans="1:13" s="38" customFormat="1" ht="16">
      <c r="A135" s="8" t="s">
        <v>280</v>
      </c>
      <c r="B135" s="119">
        <v>24800</v>
      </c>
      <c r="C135" s="9" t="s">
        <v>79</v>
      </c>
      <c r="D135" s="21">
        <v>2.3822871125716225E-2</v>
      </c>
      <c r="E135" s="10">
        <v>8.425334677240516E-2</v>
      </c>
      <c r="F135" s="14">
        <v>3.6553346772405161E-2</v>
      </c>
      <c r="G135" s="14">
        <v>0.18940000000000001</v>
      </c>
      <c r="H135" s="15" t="s">
        <v>127</v>
      </c>
      <c r="I135" s="60">
        <f t="shared" si="26"/>
        <v>6.9564860054798523E-3</v>
      </c>
      <c r="J135" s="60">
        <f t="shared" si="27"/>
        <v>1.6572346959639497E-4</v>
      </c>
      <c r="K135" s="60">
        <f t="shared" si="28"/>
        <v>5.8610722773707756E-4</v>
      </c>
      <c r="L135" s="60">
        <f t="shared" si="29"/>
        <v>2.5428284527568863E-4</v>
      </c>
      <c r="M135" s="60">
        <f t="shared" si="21"/>
        <v>1.3175584494378842E-3</v>
      </c>
    </row>
    <row r="136" spans="1:13" s="38" customFormat="1" ht="16">
      <c r="A136" s="8" t="s">
        <v>60</v>
      </c>
      <c r="B136" s="119">
        <v>552324.84683458146</v>
      </c>
      <c r="C136" s="9" t="s">
        <v>45</v>
      </c>
      <c r="D136" s="21">
        <v>4.6974675459158736E-3</v>
      </c>
      <c r="E136" s="10">
        <v>5.4907702180474256E-2</v>
      </c>
      <c r="F136" s="14">
        <v>7.2077021804742543E-3</v>
      </c>
      <c r="G136" s="14">
        <v>0.09</v>
      </c>
      <c r="H136" s="15" t="s">
        <v>127</v>
      </c>
      <c r="I136" s="60">
        <f t="shared" si="26"/>
        <v>0.15492903497917615</v>
      </c>
      <c r="J136" s="60">
        <f t="shared" si="27"/>
        <v>7.2777411373474508E-4</v>
      </c>
      <c r="K136" s="60">
        <f t="shared" si="28"/>
        <v>8.5067973117448833E-3</v>
      </c>
      <c r="L136" s="60">
        <f t="shared" si="29"/>
        <v>1.11668234323818E-3</v>
      </c>
      <c r="M136" s="60">
        <f t="shared" si="21"/>
        <v>1.3943613148125852E-2</v>
      </c>
    </row>
    <row r="137" spans="1:13" s="32" customFormat="1" ht="16">
      <c r="A137" s="58" t="s">
        <v>127</v>
      </c>
      <c r="B137" s="140">
        <f>SUM(B124:B136)</f>
        <v>3565018.312473313</v>
      </c>
      <c r="C137" s="53"/>
      <c r="D137" s="54">
        <f>SUM(J124:J136)</f>
        <v>1.4632180739436789E-2</v>
      </c>
      <c r="E137" s="260">
        <f>F137+'ERPs by country'!E3</f>
        <v>7.0151331486563662E-2</v>
      </c>
      <c r="F137" s="54">
        <f>SUM(L124:L136)</f>
        <v>2.2451331486563655E-2</v>
      </c>
      <c r="G137" s="55">
        <f>SUM(M124:M136)</f>
        <v>0.16120225505978519</v>
      </c>
      <c r="H137" s="58"/>
      <c r="I137" s="61">
        <f>SUM(I124:I136)</f>
        <v>1</v>
      </c>
    </row>
    <row r="138" spans="1:13" s="38" customFormat="1" ht="16">
      <c r="A138" s="8" t="s">
        <v>95</v>
      </c>
      <c r="B138" s="119">
        <v>2243636.8266337616</v>
      </c>
      <c r="C138" s="9" t="s">
        <v>47</v>
      </c>
      <c r="D138" s="21">
        <v>0</v>
      </c>
      <c r="E138" s="10">
        <v>4.7699999999999999E-2</v>
      </c>
      <c r="F138" s="14">
        <v>0</v>
      </c>
      <c r="G138" s="14">
        <v>0.26140000000000002</v>
      </c>
      <c r="H138" s="15" t="s">
        <v>130</v>
      </c>
      <c r="I138" s="60">
        <f>B138/B140</f>
        <v>7.2388007473433422E-2</v>
      </c>
      <c r="J138" s="60">
        <f>I138*D138</f>
        <v>0</v>
      </c>
      <c r="K138" s="60">
        <f>I138*E138</f>
        <v>3.4529079564827743E-3</v>
      </c>
      <c r="L138" s="60">
        <f>I138*F138</f>
        <v>0</v>
      </c>
      <c r="M138" s="60">
        <f t="shared" si="21"/>
        <v>1.8922225153555499E-2</v>
      </c>
    </row>
    <row r="139" spans="1:13" s="38" customFormat="1" ht="16">
      <c r="A139" s="8" t="s">
        <v>345</v>
      </c>
      <c r="B139" s="119">
        <v>28750956.130731199</v>
      </c>
      <c r="C139" s="9" t="s">
        <v>44</v>
      </c>
      <c r="D139" s="21">
        <v>2.5999999999999999E-3</v>
      </c>
      <c r="E139" s="10">
        <v>5.0299999999999997E-2</v>
      </c>
      <c r="F139" s="14">
        <v>2.6131717269259457E-3</v>
      </c>
      <c r="G139" s="14">
        <v>0.25</v>
      </c>
      <c r="H139" s="15" t="s">
        <v>130</v>
      </c>
      <c r="I139" s="60">
        <f>B139/B140</f>
        <v>0.92761199252656656</v>
      </c>
      <c r="J139" s="60">
        <f>I139*D139</f>
        <v>2.4117911805690731E-3</v>
      </c>
      <c r="K139" s="60">
        <f>I139*E139</f>
        <v>4.6658883224086296E-2</v>
      </c>
      <c r="L139" s="60">
        <f>I139*F139</f>
        <v>2.4240094324278656E-3</v>
      </c>
      <c r="M139" s="60">
        <f t="shared" si="21"/>
        <v>0.23190299813164164</v>
      </c>
    </row>
    <row r="140" spans="1:13" s="32" customFormat="1" ht="16">
      <c r="A140" s="58" t="s">
        <v>130</v>
      </c>
      <c r="B140" s="53">
        <f>SUM(B138:B139)</f>
        <v>30994592.957364962</v>
      </c>
      <c r="C140" s="53"/>
      <c r="D140" s="54">
        <f>SUM(J138:J139)</f>
        <v>2.4117911805690731E-3</v>
      </c>
      <c r="E140" s="260">
        <f>F140+'ERPs by country'!E3</f>
        <v>5.0124009432427868E-2</v>
      </c>
      <c r="F140" s="54">
        <f>SUM(L138:L139)</f>
        <v>2.4240094324278656E-3</v>
      </c>
      <c r="G140" s="55">
        <f>SUM(M138:M139)</f>
        <v>0.25082522328519713</v>
      </c>
      <c r="H140" s="58"/>
      <c r="I140" s="61">
        <f>SUM(I138:I139)</f>
        <v>1</v>
      </c>
    </row>
    <row r="141" spans="1:13" s="38" customFormat="1" ht="16">
      <c r="A141" s="8" t="s">
        <v>281</v>
      </c>
      <c r="B141" s="119">
        <v>4039.8424054811721</v>
      </c>
      <c r="C141" s="9" t="s">
        <v>82</v>
      </c>
      <c r="D141" s="21">
        <v>1.5210847291537115E-2</v>
      </c>
      <c r="E141" s="10">
        <v>7.1039226108202347E-2</v>
      </c>
      <c r="F141" s="14">
        <v>2.3339226108202347E-2</v>
      </c>
      <c r="G141" s="14">
        <v>0.1</v>
      </c>
      <c r="H141" s="15" t="s">
        <v>126</v>
      </c>
      <c r="I141" s="60">
        <f>B141/$B$167</f>
        <v>1.7145783242017838E-4</v>
      </c>
      <c r="J141" s="60">
        <f t="shared" ref="J141:J166" si="30">I141*D141</f>
        <v>2.6080189058812947E-6</v>
      </c>
      <c r="K141" s="60">
        <f t="shared" ref="K141:K166" si="31">I141*E141</f>
        <v>1.2180231725319319E-5</v>
      </c>
      <c r="L141" s="60">
        <f t="shared" ref="L141:L166" si="32">I141*F141</f>
        <v>4.0016931188768104E-6</v>
      </c>
      <c r="M141" s="60">
        <f t="shared" si="21"/>
        <v>1.714578324201784E-5</v>
      </c>
    </row>
    <row r="142" spans="1:13" s="38" customFormat="1" ht="16">
      <c r="A142" s="8" t="s">
        <v>173</v>
      </c>
      <c r="B142" s="119">
        <v>534790.7204668218</v>
      </c>
      <c r="C142" s="9" t="s">
        <v>44</v>
      </c>
      <c r="D142" s="21">
        <v>2.6131717269259457E-3</v>
      </c>
      <c r="E142" s="10">
        <v>5.1709599506545502E-2</v>
      </c>
      <c r="F142" s="14">
        <v>4.0095995065455052E-3</v>
      </c>
      <c r="G142" s="14">
        <v>0.23</v>
      </c>
      <c r="H142" s="15" t="s">
        <v>126</v>
      </c>
      <c r="I142" s="60">
        <f t="shared" ref="I142:I166" si="33">B142/$B$167</f>
        <v>2.2697434336858845E-2</v>
      </c>
      <c r="J142" s="60">
        <f t="shared" si="30"/>
        <v>5.931229368283769E-5</v>
      </c>
      <c r="K142" s="60">
        <f t="shared" si="31"/>
        <v>1.173675239385085E-3</v>
      </c>
      <c r="L142" s="60">
        <f t="shared" si="32"/>
        <v>9.1007621516918231E-5</v>
      </c>
      <c r="M142" s="60">
        <f t="shared" si="21"/>
        <v>5.2204098974775346E-3</v>
      </c>
    </row>
    <row r="143" spans="1:13" s="38" customFormat="1" ht="16">
      <c r="A143" s="8" t="s">
        <v>174</v>
      </c>
      <c r="B143" s="119">
        <v>671370.08163640613</v>
      </c>
      <c r="C143" s="9" t="s">
        <v>46</v>
      </c>
      <c r="D143" s="21">
        <v>5.7040677343264193E-3</v>
      </c>
      <c r="E143" s="10">
        <v>5.6452209790575886E-2</v>
      </c>
      <c r="F143" s="14">
        <v>8.7522097905758829E-3</v>
      </c>
      <c r="G143" s="14">
        <v>0.25</v>
      </c>
      <c r="H143" s="15" t="s">
        <v>126</v>
      </c>
      <c r="I143" s="60">
        <f t="shared" si="33"/>
        <v>2.8494096401620855E-2</v>
      </c>
      <c r="J143" s="60">
        <f t="shared" si="30"/>
        <v>1.6253225590327205E-4</v>
      </c>
      <c r="K143" s="60">
        <f t="shared" si="31"/>
        <v>1.608554707857194E-3</v>
      </c>
      <c r="L143" s="60">
        <f t="shared" si="32"/>
        <v>2.4938630949987905E-4</v>
      </c>
      <c r="M143" s="60">
        <f t="shared" si="21"/>
        <v>7.1235241004052137E-3</v>
      </c>
    </row>
    <row r="144" spans="1:13" s="38" customFormat="1" ht="16">
      <c r="A144" s="8" t="s">
        <v>175</v>
      </c>
      <c r="B144" s="119">
        <v>37634.533331890161</v>
      </c>
      <c r="C144" s="9" t="s">
        <v>43</v>
      </c>
      <c r="D144" s="21">
        <v>1.1408135468652839E-2</v>
      </c>
      <c r="E144" s="10">
        <v>6.5204419581151765E-2</v>
      </c>
      <c r="F144" s="14">
        <v>1.7504419581151766E-2</v>
      </c>
      <c r="G144" s="14">
        <v>0.125</v>
      </c>
      <c r="H144" s="15" t="s">
        <v>126</v>
      </c>
      <c r="I144" s="60">
        <f t="shared" si="33"/>
        <v>1.5972740670467508E-3</v>
      </c>
      <c r="J144" s="60">
        <f t="shared" si="30"/>
        <v>1.822191893743541E-5</v>
      </c>
      <c r="K144" s="60">
        <f t="shared" si="31"/>
        <v>1.0414932845380908E-4</v>
      </c>
      <c r="L144" s="60">
        <f t="shared" si="32"/>
        <v>2.7959355455679062E-5</v>
      </c>
      <c r="M144" s="60">
        <f t="shared" si="21"/>
        <v>1.9965925838084385E-4</v>
      </c>
    </row>
    <row r="145" spans="1:13" s="38" customFormat="1" ht="16">
      <c r="A145" s="8" t="s">
        <v>102</v>
      </c>
      <c r="B145" s="119">
        <v>424524.72203704697</v>
      </c>
      <c r="C145" s="9" t="s">
        <v>47</v>
      </c>
      <c r="D145" s="21">
        <v>0</v>
      </c>
      <c r="E145" s="10">
        <v>4.7699999999999999E-2</v>
      </c>
      <c r="F145" s="14">
        <v>0</v>
      </c>
      <c r="G145" s="14">
        <v>0.22</v>
      </c>
      <c r="H145" s="15" t="s">
        <v>126</v>
      </c>
      <c r="I145" s="60">
        <f t="shared" si="33"/>
        <v>1.801755646470107E-2</v>
      </c>
      <c r="J145" s="60">
        <f t="shared" si="30"/>
        <v>0</v>
      </c>
      <c r="K145" s="60">
        <f t="shared" si="31"/>
        <v>8.5943744336624097E-4</v>
      </c>
      <c r="L145" s="60">
        <f t="shared" si="32"/>
        <v>0</v>
      </c>
      <c r="M145" s="60">
        <f t="shared" ref="M145:M166" si="34">I145*G145</f>
        <v>3.9638624222342357E-3</v>
      </c>
    </row>
    <row r="146" spans="1:13" s="38" customFormat="1" ht="16">
      <c r="A146" s="8" t="s">
        <v>176</v>
      </c>
      <c r="B146" s="119">
        <v>298696.96129765618</v>
      </c>
      <c r="C146" s="9" t="s">
        <v>44</v>
      </c>
      <c r="D146" s="21">
        <v>2.6131717269259457E-3</v>
      </c>
      <c r="E146" s="10">
        <v>5.1709599506545502E-2</v>
      </c>
      <c r="F146" s="14">
        <v>4.0095995065455052E-3</v>
      </c>
      <c r="G146" s="14">
        <v>0.2</v>
      </c>
      <c r="H146" s="15" t="s">
        <v>126</v>
      </c>
      <c r="I146" s="60">
        <f t="shared" si="33"/>
        <v>1.2677210740969516E-2</v>
      </c>
      <c r="J146" s="60">
        <f t="shared" si="30"/>
        <v>3.3127728684583461E-5</v>
      </c>
      <c r="K146" s="60">
        <f t="shared" si="31"/>
        <v>6.5553349027561061E-4</v>
      </c>
      <c r="L146" s="60">
        <f t="shared" si="32"/>
        <v>5.0830537931364749E-5</v>
      </c>
      <c r="M146" s="60">
        <f t="shared" si="34"/>
        <v>2.5354421481939035E-3</v>
      </c>
    </row>
    <row r="147" spans="1:13" s="38" customFormat="1" ht="16">
      <c r="A147" s="8" t="s">
        <v>177</v>
      </c>
      <c r="B147" s="119">
        <v>3160442.6224650778</v>
      </c>
      <c r="C147" s="9" t="s">
        <v>46</v>
      </c>
      <c r="D147" s="21">
        <v>5.7040677343264193E-3</v>
      </c>
      <c r="E147" s="10">
        <v>5.6452209790575886E-2</v>
      </c>
      <c r="F147" s="14">
        <v>8.7522097905758829E-3</v>
      </c>
      <c r="G147" s="14">
        <v>0.25829999999999997</v>
      </c>
      <c r="H147" s="15" t="s">
        <v>126</v>
      </c>
      <c r="I147" s="60">
        <f t="shared" si="33"/>
        <v>0.13413459911232964</v>
      </c>
      <c r="J147" s="60">
        <f t="shared" si="30"/>
        <v>7.651128388534487E-4</v>
      </c>
      <c r="K147" s="60">
        <f t="shared" si="31"/>
        <v>7.5721945292640267E-3</v>
      </c>
      <c r="L147" s="60">
        <f t="shared" si="32"/>
        <v>1.1739741516059027E-3</v>
      </c>
      <c r="M147" s="60">
        <f t="shared" si="34"/>
        <v>3.4646966950714744E-2</v>
      </c>
    </row>
    <row r="148" spans="1:13" s="38" customFormat="1" ht="16">
      <c r="A148" s="8" t="s">
        <v>178</v>
      </c>
      <c r="B148" s="119">
        <v>4685592.5778046865</v>
      </c>
      <c r="C148" s="9" t="s">
        <v>47</v>
      </c>
      <c r="D148" s="21">
        <v>0</v>
      </c>
      <c r="E148" s="10">
        <v>4.7699999999999999E-2</v>
      </c>
      <c r="F148" s="14">
        <v>0</v>
      </c>
      <c r="G148" s="14">
        <v>0.29930000000000001</v>
      </c>
      <c r="H148" s="15" t="s">
        <v>126</v>
      </c>
      <c r="I148" s="60">
        <f t="shared" si="33"/>
        <v>0.19886457598060178</v>
      </c>
      <c r="J148" s="60">
        <f t="shared" si="30"/>
        <v>0</v>
      </c>
      <c r="K148" s="60">
        <f t="shared" si="31"/>
        <v>9.4858402742747042E-3</v>
      </c>
      <c r="L148" s="60">
        <f t="shared" si="32"/>
        <v>0</v>
      </c>
      <c r="M148" s="60">
        <f t="shared" si="34"/>
        <v>5.9520167590994114E-2</v>
      </c>
    </row>
    <row r="149" spans="1:13" s="38" customFormat="1" ht="16">
      <c r="A149" s="8" t="s">
        <v>179</v>
      </c>
      <c r="B149" s="119">
        <v>256238.37177811793</v>
      </c>
      <c r="C149" s="9" t="s">
        <v>124</v>
      </c>
      <c r="D149" s="21">
        <v>2.091491502586354E-2</v>
      </c>
      <c r="E149" s="10">
        <v>7.979143589877824E-2</v>
      </c>
      <c r="F149" s="14">
        <v>3.2091435898778241E-2</v>
      </c>
      <c r="G149" s="14">
        <v>0.22</v>
      </c>
      <c r="H149" s="15" t="s">
        <v>126</v>
      </c>
      <c r="I149" s="60">
        <f t="shared" si="33"/>
        <v>1.0875195465135741E-2</v>
      </c>
      <c r="J149" s="60">
        <f t="shared" si="30"/>
        <v>2.2745378904297055E-4</v>
      </c>
      <c r="K149" s="60">
        <f t="shared" si="31"/>
        <v>8.6774746184306237E-4</v>
      </c>
      <c r="L149" s="60">
        <f t="shared" si="32"/>
        <v>3.4900063815608746E-4</v>
      </c>
      <c r="M149" s="60">
        <f t="shared" si="34"/>
        <v>2.3925430023298633E-3</v>
      </c>
    </row>
    <row r="150" spans="1:13" s="38" customFormat="1" ht="16">
      <c r="A150" s="8" t="s">
        <v>284</v>
      </c>
      <c r="B150" s="119">
        <v>3446</v>
      </c>
      <c r="C150" s="9" t="s">
        <v>41</v>
      </c>
      <c r="D150" s="21">
        <v>6.710667922736965E-3</v>
      </c>
      <c r="E150" s="10">
        <v>5.7996717400677508E-2</v>
      </c>
      <c r="F150" s="14">
        <v>1.0296717400677511E-2</v>
      </c>
      <c r="G150" s="14">
        <v>0</v>
      </c>
      <c r="H150" s="15" t="s">
        <v>126</v>
      </c>
      <c r="I150" s="60">
        <f t="shared" si="33"/>
        <v>1.4625414340873558E-4</v>
      </c>
      <c r="J150" s="60">
        <f t="shared" si="30"/>
        <v>9.8146298874037375E-7</v>
      </c>
      <c r="K150" s="60">
        <f t="shared" si="31"/>
        <v>8.4822602239545988E-6</v>
      </c>
      <c r="L150" s="60">
        <f t="shared" si="32"/>
        <v>1.5059375833579118E-6</v>
      </c>
      <c r="M150" s="60">
        <f t="shared" si="34"/>
        <v>0</v>
      </c>
    </row>
    <row r="151" spans="1:13" s="38" customFormat="1" ht="16">
      <c r="A151" s="8" t="s">
        <v>110</v>
      </c>
      <c r="B151" s="119">
        <v>33255.181468938186</v>
      </c>
      <c r="C151" s="9" t="s">
        <v>41</v>
      </c>
      <c r="D151" s="21">
        <v>6.710667922736965E-3</v>
      </c>
      <c r="E151" s="10">
        <v>5.7996717400677508E-2</v>
      </c>
      <c r="F151" s="14">
        <v>1.0296717400677511E-2</v>
      </c>
      <c r="G151" s="14">
        <v>0.21</v>
      </c>
      <c r="H151" s="15" t="s">
        <v>126</v>
      </c>
      <c r="I151" s="60">
        <f t="shared" si="33"/>
        <v>1.4114068716313442E-3</v>
      </c>
      <c r="J151" s="60">
        <f t="shared" si="30"/>
        <v>9.471482819386991E-6</v>
      </c>
      <c r="K151" s="60">
        <f t="shared" si="31"/>
        <v>8.1856965471377389E-5</v>
      </c>
      <c r="L151" s="60">
        <f t="shared" si="32"/>
        <v>1.4532857694562272E-5</v>
      </c>
      <c r="M151" s="60">
        <f t="shared" si="34"/>
        <v>2.9639544304258225E-4</v>
      </c>
    </row>
    <row r="152" spans="1:13" s="38" customFormat="1" ht="16">
      <c r="A152" s="8" t="s">
        <v>180</v>
      </c>
      <c r="B152" s="119">
        <v>609157.45974720537</v>
      </c>
      <c r="C152" s="9" t="s">
        <v>46</v>
      </c>
      <c r="D152" s="21">
        <v>5.7040677343264193E-3</v>
      </c>
      <c r="E152" s="10">
        <v>5.6452209790575886E-2</v>
      </c>
      <c r="F152" s="14">
        <v>8.7522097905758829E-3</v>
      </c>
      <c r="G152" s="14">
        <v>0.125</v>
      </c>
      <c r="H152" s="15" t="s">
        <v>126</v>
      </c>
      <c r="I152" s="60">
        <f t="shared" si="33"/>
        <v>2.5853686151006632E-2</v>
      </c>
      <c r="J152" s="60">
        <f t="shared" si="30"/>
        <v>1.4747117698735873E-4</v>
      </c>
      <c r="K152" s="60">
        <f t="shared" si="31"/>
        <v>1.4594977144563328E-3</v>
      </c>
      <c r="L152" s="60">
        <f t="shared" si="32"/>
        <v>2.2627688505331636E-4</v>
      </c>
      <c r="M152" s="60">
        <f t="shared" si="34"/>
        <v>3.2317107688758289E-3</v>
      </c>
    </row>
    <row r="153" spans="1:13" s="38" customFormat="1" ht="16">
      <c r="A153" s="8" t="s">
        <v>113</v>
      </c>
      <c r="B153" s="119">
        <v>7431.2574109271272</v>
      </c>
      <c r="C153" s="9" t="s">
        <v>46</v>
      </c>
      <c r="D153" s="21">
        <v>5.7040677343264193E-3</v>
      </c>
      <c r="E153" s="10">
        <v>5.6452209790575886E-2</v>
      </c>
      <c r="F153" s="14">
        <v>8.7522097905758829E-3</v>
      </c>
      <c r="G153" s="14">
        <v>0</v>
      </c>
      <c r="H153" s="15" t="s">
        <v>126</v>
      </c>
      <c r="I153" s="60">
        <f t="shared" si="33"/>
        <v>3.1539529514943858E-4</v>
      </c>
      <c r="J153" s="60">
        <f t="shared" si="30"/>
        <v>1.7990361266202704E-6</v>
      </c>
      <c r="K153" s="60">
        <f t="shared" si="31"/>
        <v>1.7804761368736708E-5</v>
      </c>
      <c r="L153" s="60">
        <f t="shared" si="32"/>
        <v>2.7604057901084866E-6</v>
      </c>
      <c r="M153" s="60">
        <f t="shared" si="34"/>
        <v>0</v>
      </c>
    </row>
    <row r="154" spans="1:13" s="38" customFormat="1" ht="16">
      <c r="A154" s="8" t="s">
        <v>144</v>
      </c>
      <c r="B154" s="119">
        <v>2380825.0772435931</v>
      </c>
      <c r="C154" s="9" t="s">
        <v>83</v>
      </c>
      <c r="D154" s="21">
        <v>1.8118803391389805E-2</v>
      </c>
      <c r="E154" s="10">
        <v>7.5501136981829281E-2</v>
      </c>
      <c r="F154" s="14">
        <v>2.7801136981829278E-2</v>
      </c>
      <c r="G154" s="14">
        <v>0.27810000000000001</v>
      </c>
      <c r="H154" s="15" t="s">
        <v>126</v>
      </c>
      <c r="I154" s="60">
        <f t="shared" si="33"/>
        <v>0.10104629491535068</v>
      </c>
      <c r="J154" s="60">
        <f t="shared" si="30"/>
        <v>1.8308379509996303E-3</v>
      </c>
      <c r="K154" s="60">
        <f t="shared" si="31"/>
        <v>7.6291101539102115E-3</v>
      </c>
      <c r="L154" s="60">
        <f t="shared" si="32"/>
        <v>2.8092018864479835E-3</v>
      </c>
      <c r="M154" s="60">
        <f t="shared" si="34"/>
        <v>2.8100974615959024E-2</v>
      </c>
    </row>
    <row r="155" spans="1:13" s="38" customFormat="1" ht="16">
      <c r="A155" s="8" t="s">
        <v>285</v>
      </c>
      <c r="B155" s="119">
        <v>4890</v>
      </c>
      <c r="C155" s="9" t="s">
        <v>46</v>
      </c>
      <c r="D155" s="21">
        <v>5.7040677343264193E-3</v>
      </c>
      <c r="E155" s="10">
        <v>5.6452209790575886E-2</v>
      </c>
      <c r="F155" s="14">
        <v>8.7522097905758829E-3</v>
      </c>
      <c r="G155" s="14">
        <v>0</v>
      </c>
      <c r="H155" s="15" t="s">
        <v>126</v>
      </c>
      <c r="I155" s="60">
        <f t="shared" si="33"/>
        <v>2.0753997715284884E-4</v>
      </c>
      <c r="J155" s="60">
        <f t="shared" si="30"/>
        <v>1.1838220872604073E-6</v>
      </c>
      <c r="K155" s="60">
        <f t="shared" si="31"/>
        <v>1.1716090330163948E-5</v>
      </c>
      <c r="L155" s="60">
        <f t="shared" si="32"/>
        <v>1.8164334199730586E-6</v>
      </c>
      <c r="M155" s="60">
        <f t="shared" si="34"/>
        <v>0</v>
      </c>
    </row>
    <row r="156" spans="1:13" s="38" customFormat="1" ht="16">
      <c r="A156" s="8" t="s">
        <v>220</v>
      </c>
      <c r="B156" s="119">
        <v>8239.3794030000008</v>
      </c>
      <c r="C156" s="9" t="s">
        <v>47</v>
      </c>
      <c r="D156" s="21">
        <v>0</v>
      </c>
      <c r="E156" s="10">
        <v>4.7699999999999999E-2</v>
      </c>
      <c r="F156" s="14">
        <v>0</v>
      </c>
      <c r="G156" s="14">
        <v>0.125</v>
      </c>
      <c r="H156" s="15" t="s">
        <v>126</v>
      </c>
      <c r="I156" s="60">
        <f t="shared" si="33"/>
        <v>3.4969337690230541E-4</v>
      </c>
      <c r="J156" s="60">
        <f t="shared" si="30"/>
        <v>0</v>
      </c>
      <c r="K156" s="60">
        <f t="shared" si="31"/>
        <v>1.6680374078239968E-5</v>
      </c>
      <c r="L156" s="60">
        <f t="shared" si="32"/>
        <v>0</v>
      </c>
      <c r="M156" s="60">
        <f t="shared" si="34"/>
        <v>4.3711672112788177E-5</v>
      </c>
    </row>
    <row r="157" spans="1:13" s="38" customFormat="1" ht="16">
      <c r="A157" s="8" t="s">
        <v>182</v>
      </c>
      <c r="B157" s="119">
        <v>93279.851863406235</v>
      </c>
      <c r="C157" s="9" t="s">
        <v>47</v>
      </c>
      <c r="D157" s="21">
        <v>0</v>
      </c>
      <c r="E157" s="10">
        <v>4.7699999999999999E-2</v>
      </c>
      <c r="F157" s="14">
        <v>0</v>
      </c>
      <c r="G157" s="14">
        <v>0.24940000000000001</v>
      </c>
      <c r="H157" s="15" t="s">
        <v>126</v>
      </c>
      <c r="I157" s="60">
        <f t="shared" si="33"/>
        <v>3.958956712587414E-3</v>
      </c>
      <c r="J157" s="60">
        <f t="shared" si="30"/>
        <v>0</v>
      </c>
      <c r="K157" s="60">
        <f t="shared" si="31"/>
        <v>1.8884223519041965E-4</v>
      </c>
      <c r="L157" s="60">
        <f t="shared" si="32"/>
        <v>0</v>
      </c>
      <c r="M157" s="60">
        <f t="shared" si="34"/>
        <v>9.8736380411930109E-4</v>
      </c>
    </row>
    <row r="158" spans="1:13" s="38" customFormat="1" ht="16">
      <c r="A158" s="8" t="s">
        <v>183</v>
      </c>
      <c r="B158" s="119">
        <v>24971.574502447478</v>
      </c>
      <c r="C158" s="9" t="s">
        <v>42</v>
      </c>
      <c r="D158" s="21">
        <v>8.0528015072843552E-3</v>
      </c>
      <c r="E158" s="10">
        <v>6.0056060880813007E-2</v>
      </c>
      <c r="F158" s="14">
        <v>1.2356060880813008E-2</v>
      </c>
      <c r="G158" s="14">
        <v>0.35</v>
      </c>
      <c r="H158" s="15" t="s">
        <v>126</v>
      </c>
      <c r="I158" s="60">
        <f t="shared" si="33"/>
        <v>1.0598364011674053E-3</v>
      </c>
      <c r="J158" s="60">
        <f t="shared" si="30"/>
        <v>8.5346521687957078E-6</v>
      </c>
      <c r="K158" s="60">
        <f t="shared" si="31"/>
        <v>6.3649599432211455E-5</v>
      </c>
      <c r="L158" s="60">
        <f t="shared" si="32"/>
        <v>1.3095403096526218E-5</v>
      </c>
      <c r="M158" s="60">
        <f t="shared" si="34"/>
        <v>3.7094274040859183E-4</v>
      </c>
    </row>
    <row r="159" spans="1:13" s="38" customFormat="1" ht="16">
      <c r="A159" s="8" t="s">
        <v>184</v>
      </c>
      <c r="B159" s="119">
        <v>1214927.6985726559</v>
      </c>
      <c r="C159" s="9" t="s">
        <v>47</v>
      </c>
      <c r="D159" s="21">
        <v>0</v>
      </c>
      <c r="E159" s="10">
        <v>4.7699999999999999E-2</v>
      </c>
      <c r="F159" s="14">
        <v>0</v>
      </c>
      <c r="G159" s="14">
        <v>0.25800000000000001</v>
      </c>
      <c r="H159" s="15" t="s">
        <v>126</v>
      </c>
      <c r="I159" s="60">
        <f t="shared" si="33"/>
        <v>5.1563612843380818E-2</v>
      </c>
      <c r="J159" s="60">
        <f t="shared" si="30"/>
        <v>0</v>
      </c>
      <c r="K159" s="60">
        <f t="shared" si="31"/>
        <v>2.4595843326292652E-3</v>
      </c>
      <c r="L159" s="60">
        <f t="shared" si="32"/>
        <v>0</v>
      </c>
      <c r="M159" s="60">
        <f t="shared" si="34"/>
        <v>1.3303412113592251E-2</v>
      </c>
    </row>
    <row r="160" spans="1:13" s="38" customFormat="1" ht="16">
      <c r="A160" s="8" t="s">
        <v>23</v>
      </c>
      <c r="B160" s="119">
        <v>483592.64831330121</v>
      </c>
      <c r="C160" s="9" t="s">
        <v>47</v>
      </c>
      <c r="D160" s="21">
        <v>0</v>
      </c>
      <c r="E160" s="10">
        <v>4.7699999999999999E-2</v>
      </c>
      <c r="F160" s="14">
        <v>0</v>
      </c>
      <c r="G160" s="14">
        <v>0.22</v>
      </c>
      <c r="H160" s="15" t="s">
        <v>126</v>
      </c>
      <c r="I160" s="60">
        <f t="shared" si="33"/>
        <v>2.0524500446263434E-2</v>
      </c>
      <c r="J160" s="60">
        <f t="shared" si="30"/>
        <v>0</v>
      </c>
      <c r="K160" s="60">
        <f t="shared" si="31"/>
        <v>9.7901867128676566E-4</v>
      </c>
      <c r="L160" s="60">
        <f t="shared" si="32"/>
        <v>0</v>
      </c>
      <c r="M160" s="60">
        <f t="shared" si="34"/>
        <v>4.5153900981779556E-3</v>
      </c>
    </row>
    <row r="161" spans="1:13" s="38" customFormat="1" ht="16">
      <c r="A161" s="8" t="s">
        <v>186</v>
      </c>
      <c r="B161" s="119">
        <v>313271.18508510228</v>
      </c>
      <c r="C161" s="9" t="s">
        <v>43</v>
      </c>
      <c r="D161" s="21">
        <v>1.1408135468652839E-2</v>
      </c>
      <c r="E161" s="10">
        <v>6.5204419581151765E-2</v>
      </c>
      <c r="F161" s="14">
        <v>1.7504419581151766E-2</v>
      </c>
      <c r="G161" s="14">
        <v>0.315</v>
      </c>
      <c r="H161" s="15" t="s">
        <v>126</v>
      </c>
      <c r="I161" s="60">
        <f t="shared" si="33"/>
        <v>1.3295765765891207E-2</v>
      </c>
      <c r="J161" s="60">
        <f t="shared" si="30"/>
        <v>1.5167989701676365E-4</v>
      </c>
      <c r="K161" s="60">
        <f t="shared" si="31"/>
        <v>8.6694268965188399E-4</v>
      </c>
      <c r="L161" s="60">
        <f t="shared" si="32"/>
        <v>2.3273466261887336E-4</v>
      </c>
      <c r="M161" s="60">
        <f t="shared" si="34"/>
        <v>4.1881662162557304E-3</v>
      </c>
    </row>
    <row r="162" spans="1:13" s="38" customFormat="1" ht="16">
      <c r="A162" s="8" t="s">
        <v>138</v>
      </c>
      <c r="B162" s="119">
        <v>1725671.6527421873</v>
      </c>
      <c r="C162" s="9" t="s">
        <v>43</v>
      </c>
      <c r="D162" s="21">
        <v>1.1408135468652839E-2</v>
      </c>
      <c r="E162" s="10">
        <v>6.5204419581151765E-2</v>
      </c>
      <c r="F162" s="14">
        <v>1.7504419581151766E-2</v>
      </c>
      <c r="G162" s="14">
        <v>0.25</v>
      </c>
      <c r="H162" s="15" t="s">
        <v>126</v>
      </c>
      <c r="I162" s="60">
        <f t="shared" si="33"/>
        <v>7.3240461223605807E-2</v>
      </c>
      <c r="J162" s="60">
        <f t="shared" si="30"/>
        <v>8.3553710342551026E-4</v>
      </c>
      <c r="K162" s="60">
        <f t="shared" si="31"/>
        <v>4.7756017639410692E-3</v>
      </c>
      <c r="L162" s="60">
        <f t="shared" si="32"/>
        <v>1.2820317635750722E-3</v>
      </c>
      <c r="M162" s="60">
        <f t="shared" si="34"/>
        <v>1.8310115305901452E-2</v>
      </c>
    </row>
    <row r="163" spans="1:13" s="38" customFormat="1" ht="16">
      <c r="A163" s="8" t="s">
        <v>34</v>
      </c>
      <c r="B163" s="119">
        <v>603715.22426579788</v>
      </c>
      <c r="C163" s="9" t="s">
        <v>47</v>
      </c>
      <c r="D163" s="21">
        <v>0</v>
      </c>
      <c r="E163" s="10">
        <v>4.7699999999999999E-2</v>
      </c>
      <c r="F163" s="14">
        <v>0</v>
      </c>
      <c r="G163" s="14">
        <v>0.20600000000000002</v>
      </c>
      <c r="H163" s="15" t="s">
        <v>126</v>
      </c>
      <c r="I163" s="60">
        <f t="shared" si="33"/>
        <v>2.5622708353977647E-2</v>
      </c>
      <c r="J163" s="60">
        <f t="shared" si="30"/>
        <v>0</v>
      </c>
      <c r="K163" s="60">
        <f t="shared" si="31"/>
        <v>1.2222031884847337E-3</v>
      </c>
      <c r="L163" s="60">
        <f t="shared" si="32"/>
        <v>0</v>
      </c>
      <c r="M163" s="60">
        <f t="shared" si="34"/>
        <v>5.2782779209193959E-3</v>
      </c>
    </row>
    <row r="164" spans="1:13" s="38" customFormat="1" ht="16">
      <c r="A164" s="8" t="s">
        <v>35</v>
      </c>
      <c r="B164" s="119">
        <v>936564.19804851583</v>
      </c>
      <c r="C164" s="9" t="s">
        <v>47</v>
      </c>
      <c r="D164" s="21">
        <v>0</v>
      </c>
      <c r="E164" s="10">
        <v>4.7699999999999999E-2</v>
      </c>
      <c r="F164" s="14">
        <v>0</v>
      </c>
      <c r="G164" s="14">
        <v>0.1961</v>
      </c>
      <c r="H164" s="15" t="s">
        <v>126</v>
      </c>
      <c r="I164" s="60">
        <f t="shared" si="33"/>
        <v>3.9749389011281222E-2</v>
      </c>
      <c r="J164" s="60">
        <f t="shared" si="30"/>
        <v>0</v>
      </c>
      <c r="K164" s="60">
        <f t="shared" si="31"/>
        <v>1.8960458558381142E-3</v>
      </c>
      <c r="L164" s="60">
        <f t="shared" si="32"/>
        <v>0</v>
      </c>
      <c r="M164" s="60">
        <f t="shared" si="34"/>
        <v>7.7948551851122474E-3</v>
      </c>
    </row>
    <row r="165" spans="1:13" s="38" customFormat="1" ht="16">
      <c r="A165" s="8" t="s">
        <v>66</v>
      </c>
      <c r="B165" s="119">
        <v>1359123.7687741222</v>
      </c>
      <c r="C165" s="9" t="s">
        <v>81</v>
      </c>
      <c r="D165" s="21">
        <v>3.4224406405958516E-2</v>
      </c>
      <c r="E165" s="10">
        <v>0.1002132587434553</v>
      </c>
      <c r="F165" s="14">
        <v>5.2513258743455297E-2</v>
      </c>
      <c r="G165" s="14">
        <v>0.25</v>
      </c>
      <c r="H165" s="15" t="s">
        <v>126</v>
      </c>
      <c r="I165" s="60">
        <f t="shared" si="33"/>
        <v>5.7683541087786325E-2</v>
      </c>
      <c r="J165" s="60">
        <f t="shared" si="30"/>
        <v>1.9741849531232057E-3</v>
      </c>
      <c r="K165" s="60">
        <f t="shared" si="31"/>
        <v>5.7806556282690661E-3</v>
      </c>
      <c r="L165" s="60">
        <f t="shared" si="32"/>
        <v>3.029150718381658E-3</v>
      </c>
      <c r="M165" s="60">
        <f t="shared" si="34"/>
        <v>1.4420885271946581E-2</v>
      </c>
    </row>
    <row r="166" spans="1:13" s="38" customFormat="1" ht="16">
      <c r="A166" s="8" t="s">
        <v>57</v>
      </c>
      <c r="B166" s="119">
        <v>3686033.0444821278</v>
      </c>
      <c r="C166" s="9" t="s">
        <v>46</v>
      </c>
      <c r="D166" s="21">
        <v>5.7040677343264193E-3</v>
      </c>
      <c r="E166" s="10">
        <v>5.6452209790575886E-2</v>
      </c>
      <c r="F166" s="14">
        <v>8.7522097905758829E-3</v>
      </c>
      <c r="G166" s="14">
        <v>0.25</v>
      </c>
      <c r="H166" s="15" t="s">
        <v>126</v>
      </c>
      <c r="I166" s="60">
        <f t="shared" si="33"/>
        <v>0.15644155702177232</v>
      </c>
      <c r="J166" s="60">
        <f t="shared" si="30"/>
        <v>8.9235323771567811E-4</v>
      </c>
      <c r="K166" s="60">
        <f t="shared" si="31"/>
        <v>8.8314715969574301E-3</v>
      </c>
      <c r="L166" s="60">
        <f t="shared" si="32"/>
        <v>1.3692093270188908E-3</v>
      </c>
      <c r="M166" s="60">
        <f t="shared" si="34"/>
        <v>3.9110389255443079E-2</v>
      </c>
    </row>
    <row r="167" spans="1:13" s="32" customFormat="1" ht="16">
      <c r="A167" s="58" t="s">
        <v>126</v>
      </c>
      <c r="B167" s="53">
        <f>SUM(B141:B166)</f>
        <v>23561725.635146514</v>
      </c>
      <c r="C167" s="53"/>
      <c r="D167" s="62">
        <f>SUM(J141:J166)</f>
        <v>7.1224036194693797E-3</v>
      </c>
      <c r="E167" s="260">
        <f>F167+'ERPs by country'!E3</f>
        <v>5.862847658796503E-2</v>
      </c>
      <c r="F167" s="62">
        <f>SUM(L141:L166)</f>
        <v>1.092847658796503E-2</v>
      </c>
      <c r="G167" s="55">
        <f>SUM(M141:M166)</f>
        <v>0.25557231156583926</v>
      </c>
      <c r="H167" s="58"/>
      <c r="I167" s="61">
        <f>SUM(I141:I166)</f>
        <v>0.99999999999999989</v>
      </c>
    </row>
    <row r="170" spans="1:13">
      <c r="A170" s="64" t="s">
        <v>52</v>
      </c>
      <c r="B170" s="17" t="s">
        <v>466</v>
      </c>
      <c r="C170" s="17" t="s">
        <v>273</v>
      </c>
      <c r="D170" s="17" t="s">
        <v>276</v>
      </c>
      <c r="E170" s="17" t="s">
        <v>346</v>
      </c>
      <c r="F170" s="123" t="s">
        <v>293</v>
      </c>
      <c r="G170" s="123" t="s">
        <v>271</v>
      </c>
      <c r="H170" s="25" t="s">
        <v>294</v>
      </c>
      <c r="I170" s="25" t="s">
        <v>292</v>
      </c>
      <c r="J170" s="25" t="s">
        <v>295</v>
      </c>
      <c r="K170" s="25" t="s">
        <v>349</v>
      </c>
    </row>
    <row r="171" spans="1:13">
      <c r="A171" s="15" t="str">
        <f>A32</f>
        <v>Africa</v>
      </c>
      <c r="B171" s="65">
        <f>E32</f>
        <v>0.13401248490683995</v>
      </c>
      <c r="C171" s="65">
        <f>F32</f>
        <v>8.6312484906839959E-2</v>
      </c>
      <c r="D171" s="65">
        <f>D32</f>
        <v>5.6252337638977808E-2</v>
      </c>
      <c r="E171" s="65">
        <f>G32</f>
        <v>0.27390173905276305</v>
      </c>
      <c r="F171" s="123">
        <f>B32</f>
        <v>2340875.22920722</v>
      </c>
      <c r="G171" s="124">
        <f>F171/$F$180</f>
        <v>2.1757309709372313E-2</v>
      </c>
      <c r="H171" s="47">
        <f t="shared" ref="H171:H180" si="35">G171*B171</f>
        <v>2.9157511390406994E-3</v>
      </c>
      <c r="I171" s="47">
        <f t="shared" ref="I171:I180" si="36">G171*C171</f>
        <v>1.8779274659036403E-3</v>
      </c>
      <c r="J171" s="47">
        <f t="shared" ref="J171:J180" si="37">G171*D171</f>
        <v>1.2238995318874216E-3</v>
      </c>
      <c r="K171" s="47">
        <f>G171*E171</f>
        <v>5.9593649665066429E-3</v>
      </c>
    </row>
    <row r="172" spans="1:13">
      <c r="A172" s="15" t="str">
        <f>A57</f>
        <v>Asia</v>
      </c>
      <c r="B172" s="65">
        <f>E57</f>
        <v>6.4531201759550266E-2</v>
      </c>
      <c r="C172" s="65">
        <f>F57</f>
        <v>1.6831201759550263E-2</v>
      </c>
      <c r="D172" s="65">
        <f>D57</f>
        <v>1.0969379983323231E-2</v>
      </c>
      <c r="E172" s="65">
        <f>G57</f>
        <v>0.25654534735852497</v>
      </c>
      <c r="F172" s="123">
        <f>B57</f>
        <v>34731689.374811396</v>
      </c>
      <c r="G172" s="124">
        <f t="shared" ref="G172:G179" si="38">F172/$F$180</f>
        <v>0.32281435295182648</v>
      </c>
      <c r="H172" s="47">
        <f t="shared" si="35"/>
        <v>2.0831598141212986E-2</v>
      </c>
      <c r="I172" s="47">
        <f t="shared" si="36"/>
        <v>5.4333535054108617E-3</v>
      </c>
      <c r="J172" s="47">
        <f t="shared" si="37"/>
        <v>3.5410733015992062E-3</v>
      </c>
      <c r="K172" s="47">
        <f t="shared" ref="K172:K180" si="39">G172*E172</f>
        <v>8.2816520310343797E-2</v>
      </c>
    </row>
    <row r="173" spans="1:13">
      <c r="A173" s="15" t="str">
        <f>A61</f>
        <v>Australia &amp; New Zealand</v>
      </c>
      <c r="B173" s="65">
        <f>E61</f>
        <v>4.774604087369004E-2</v>
      </c>
      <c r="C173" s="65">
        <f>F61</f>
        <v>4.604087369004128E-5</v>
      </c>
      <c r="D173" s="65">
        <f>D61</f>
        <v>3.0006166255103282E-5</v>
      </c>
      <c r="E173" s="65">
        <f>G61</f>
        <v>0.29735221227379716</v>
      </c>
      <c r="F173" s="123">
        <f>B61</f>
        <v>2018608.836750448</v>
      </c>
      <c r="G173" s="124">
        <f t="shared" si="38"/>
        <v>1.8761998544505686E-2</v>
      </c>
      <c r="H173" s="47">
        <f t="shared" si="35"/>
        <v>8.9581114937808146E-4</v>
      </c>
      <c r="I173" s="47">
        <f t="shared" si="36"/>
        <v>8.6381880516032462E-7</v>
      </c>
      <c r="J173" s="47">
        <f t="shared" si="37"/>
        <v>5.6297564760444336E-7</v>
      </c>
      <c r="K173" s="47">
        <f t="shared" si="39"/>
        <v>5.5789217738865275E-3</v>
      </c>
    </row>
    <row r="174" spans="1:13">
      <c r="A174" s="15" t="str">
        <f>A76</f>
        <v>Caribbean</v>
      </c>
      <c r="B174" s="65">
        <f>E76</f>
        <v>0.13214997791379821</v>
      </c>
      <c r="C174" s="65">
        <f>F76</f>
        <v>8.4449977913798213E-2</v>
      </c>
      <c r="D174" s="65">
        <f>D76</f>
        <v>5.5038488074333446E-2</v>
      </c>
      <c r="E174" s="65">
        <f>G76</f>
        <v>0.26526547543374851</v>
      </c>
      <c r="F174" s="123">
        <f>B76</f>
        <v>347814.13246985013</v>
      </c>
      <c r="G174" s="124">
        <f t="shared" si="38"/>
        <v>3.2327651243531032E-3</v>
      </c>
      <c r="H174" s="47">
        <f t="shared" si="35"/>
        <v>4.2720983978375968E-4</v>
      </c>
      <c r="I174" s="47">
        <f t="shared" si="36"/>
        <v>2.730069433521167E-4</v>
      </c>
      <c r="J174" s="47">
        <f t="shared" si="37"/>
        <v>1.7792650474382935E-4</v>
      </c>
      <c r="K174" s="47">
        <f t="shared" si="39"/>
        <v>8.5754097767716704E-4</v>
      </c>
    </row>
    <row r="175" spans="1:13">
      <c r="A175" s="15" t="str">
        <f>A96</f>
        <v>Central and South America</v>
      </c>
      <c r="B175" s="65">
        <f>E96</f>
        <v>9.4606168464613241E-2</v>
      </c>
      <c r="C175" s="65">
        <f>F96</f>
        <v>4.6906168464613242E-2</v>
      </c>
      <c r="D175" s="65">
        <f>D96</f>
        <v>3.0570103834573994E-2</v>
      </c>
      <c r="E175" s="65">
        <f>G96</f>
        <v>0.31546691365656965</v>
      </c>
      <c r="F175" s="123">
        <f>B96</f>
        <v>6538486.8558456972</v>
      </c>
      <c r="G175" s="124">
        <f t="shared" si="38"/>
        <v>6.0772091471732875E-2</v>
      </c>
      <c r="H175" s="47">
        <f t="shared" si="35"/>
        <v>5.7494147237216464E-3</v>
      </c>
      <c r="I175" s="47">
        <f t="shared" si="36"/>
        <v>2.8505859605199879E-3</v>
      </c>
      <c r="J175" s="47">
        <f t="shared" si="37"/>
        <v>1.8578091465351028E-3</v>
      </c>
      <c r="K175" s="47">
        <f t="shared" si="39"/>
        <v>1.9171584133042308E-2</v>
      </c>
    </row>
    <row r="176" spans="1:13">
      <c r="A176" s="15" t="str">
        <f>A123</f>
        <v>Eastern Europe</v>
      </c>
      <c r="B176" s="65">
        <f>E123</f>
        <v>8.4590599993968008E-2</v>
      </c>
      <c r="C176" s="65">
        <f>F123</f>
        <v>3.6890599993968015E-2</v>
      </c>
      <c r="D176" s="65">
        <f>D123</f>
        <v>2.4042668784301349E-2</v>
      </c>
      <c r="E176" s="65">
        <f>G123</f>
        <v>0.17637480027426933</v>
      </c>
      <c r="F176" s="123">
        <f>B123</f>
        <v>3491477.1931399349</v>
      </c>
      <c r="G176" s="124">
        <f t="shared" si="38"/>
        <v>3.2451601728504975E-2</v>
      </c>
      <c r="H176" s="47">
        <f t="shared" si="35"/>
        <v>2.7451004609795253E-3</v>
      </c>
      <c r="I176" s="47">
        <f t="shared" si="36"/>
        <v>1.197159058529838E-3</v>
      </c>
      <c r="J176" s="47">
        <f t="shared" si="37"/>
        <v>7.8022311187850627E-4</v>
      </c>
      <c r="K176" s="47">
        <f t="shared" si="39"/>
        <v>5.7236447734451985E-3</v>
      </c>
    </row>
    <row r="177" spans="1:11">
      <c r="A177" s="15" t="str">
        <f>A137</f>
        <v>Middle East</v>
      </c>
      <c r="B177" s="65">
        <f>E137</f>
        <v>7.0151331486563662E-2</v>
      </c>
      <c r="C177" s="65">
        <f>F137</f>
        <v>2.2451331486563655E-2</v>
      </c>
      <c r="D177" s="65">
        <f>D137</f>
        <v>1.4632180739436789E-2</v>
      </c>
      <c r="E177" s="65">
        <f>G137</f>
        <v>0.16120225505978519</v>
      </c>
      <c r="F177" s="123">
        <f>B137</f>
        <v>3565018.312473313</v>
      </c>
      <c r="G177" s="124">
        <f t="shared" si="38"/>
        <v>3.3135131072464116E-2</v>
      </c>
      <c r="H177" s="47">
        <f t="shared" si="35"/>
        <v>2.3244735637151658E-3</v>
      </c>
      <c r="I177" s="47">
        <f t="shared" si="36"/>
        <v>7.439278115586274E-4</v>
      </c>
      <c r="J177" s="47">
        <f t="shared" si="37"/>
        <v>4.8483922667722293E-4</v>
      </c>
      <c r="K177" s="47">
        <f t="shared" si="39"/>
        <v>5.3414578505827743E-3</v>
      </c>
    </row>
    <row r="178" spans="1:11">
      <c r="A178" s="15" t="str">
        <f>A140</f>
        <v>North America</v>
      </c>
      <c r="B178" s="65">
        <f>E140</f>
        <v>5.0124009432427868E-2</v>
      </c>
      <c r="C178" s="65">
        <f>F140</f>
        <v>2.4240094324278656E-3</v>
      </c>
      <c r="D178" s="65">
        <f>D140</f>
        <v>2.4117911805690731E-3</v>
      </c>
      <c r="E178" s="65">
        <f>G140</f>
        <v>0.25082522328519713</v>
      </c>
      <c r="F178" s="123">
        <f>B140</f>
        <v>30994592.957364962</v>
      </c>
      <c r="G178" s="124">
        <f t="shared" si="38"/>
        <v>0.28807983863270803</v>
      </c>
      <c r="H178" s="47">
        <f t="shared" si="35"/>
        <v>1.4439716548918156E-2</v>
      </c>
      <c r="I178" s="47">
        <f t="shared" si="36"/>
        <v>6.9830824613798166E-4</v>
      </c>
      <c r="J178" s="47">
        <f t="shared" si="37"/>
        <v>6.94788414114127E-4</v>
      </c>
      <c r="K178" s="47">
        <f t="shared" si="39"/>
        <v>7.2257689849012555E-2</v>
      </c>
    </row>
    <row r="179" spans="1:11">
      <c r="A179" s="15" t="str">
        <f>A167</f>
        <v>Western Europe</v>
      </c>
      <c r="B179" s="65">
        <f>E167</f>
        <v>5.862847658796503E-2</v>
      </c>
      <c r="C179" s="65">
        <f>F167</f>
        <v>1.092847658796503E-2</v>
      </c>
      <c r="D179" s="65">
        <f>D167</f>
        <v>7.1224036194693797E-3</v>
      </c>
      <c r="E179" s="65">
        <f>G167</f>
        <v>0.25557231156583926</v>
      </c>
      <c r="F179" s="123">
        <f>B167</f>
        <v>23561725.635146514</v>
      </c>
      <c r="G179" s="124">
        <f t="shared" si="38"/>
        <v>0.21899491076453251</v>
      </c>
      <c r="H179" s="47">
        <f t="shared" si="35"/>
        <v>1.2839337998641885E-2</v>
      </c>
      <c r="I179" s="47">
        <f t="shared" si="36"/>
        <v>2.3932807551736847E-3</v>
      </c>
      <c r="J179" s="47">
        <f t="shared" si="37"/>
        <v>1.5597701450746802E-3</v>
      </c>
      <c r="K179" s="47">
        <f t="shared" si="39"/>
        <v>5.5969035565246267E-2</v>
      </c>
    </row>
    <row r="180" spans="1:11">
      <c r="A180" s="15" t="s">
        <v>277</v>
      </c>
      <c r="B180" s="65">
        <f>SUM(H171:H179)</f>
        <v>6.3168413565391907E-2</v>
      </c>
      <c r="C180" s="65">
        <f>SUM(I171:I179)</f>
        <v>1.54684135653919E-2</v>
      </c>
      <c r="D180" s="65">
        <f>SUM(J171:J179)</f>
        <v>1.03208923581577E-2</v>
      </c>
      <c r="E180" s="65">
        <f>SUM(K171:K179)</f>
        <v>0.25367576019974325</v>
      </c>
      <c r="F180" s="25">
        <f>SUM(F171:F179)</f>
        <v>107590288.52720933</v>
      </c>
      <c r="G180" s="63">
        <f>SUM(G171:G179)</f>
        <v>1.0000000000000002</v>
      </c>
      <c r="H180" s="47">
        <f t="shared" si="35"/>
        <v>6.316841356539192E-2</v>
      </c>
      <c r="I180" s="47">
        <f t="shared" si="36"/>
        <v>1.5468413565391904E-2</v>
      </c>
      <c r="J180" s="47">
        <f t="shared" si="37"/>
        <v>1.0320892358157701E-2</v>
      </c>
      <c r="K180" s="47">
        <f t="shared" si="39"/>
        <v>0.25367576019974331</v>
      </c>
    </row>
    <row r="181" spans="1:11">
      <c r="A181" s="19"/>
      <c r="B181" s="63"/>
      <c r="C181" s="63"/>
    </row>
    <row r="182" spans="1:11">
      <c r="A182" s="254" t="s">
        <v>301</v>
      </c>
      <c r="B182" s="254"/>
      <c r="C182" s="254"/>
    </row>
    <row r="183" spans="1:11">
      <c r="A183" s="17"/>
      <c r="B183" s="17" t="s">
        <v>304</v>
      </c>
      <c r="C183" s="17" t="s">
        <v>305</v>
      </c>
      <c r="D183" s="4" t="s">
        <v>306</v>
      </c>
    </row>
    <row r="184" spans="1:11">
      <c r="A184" s="15" t="s">
        <v>297</v>
      </c>
      <c r="B184" s="72">
        <f>(B171*F171+B177*F177)/(F171+F177)</f>
        <v>9.5463503318836268E-2</v>
      </c>
      <c r="C184" s="72">
        <f>(D171*F171+D177*F177)/(F171+F177)</f>
        <v>3.1128853704207218E-2</v>
      </c>
      <c r="D184" s="65">
        <f>(E171*F171+E177*F177)/(F171+F177)</f>
        <v>0.20587211383081347</v>
      </c>
    </row>
    <row r="185" spans="1:11">
      <c r="A185" s="15" t="s">
        <v>303</v>
      </c>
      <c r="B185" s="72">
        <f>(B173*F173+E138*B138)/(F173+B138)</f>
        <v>4.7721805058136571E-2</v>
      </c>
      <c r="C185" s="72">
        <f>(D173*F173+D138*B138)/(F173+B138)</f>
        <v>1.421098574394739E-5</v>
      </c>
      <c r="D185" s="65">
        <f>(E173*F173+G138*B138)/(F173+B138)</f>
        <v>0.27842704609921326</v>
      </c>
    </row>
    <row r="186" spans="1:11">
      <c r="A186" s="15" t="s">
        <v>298</v>
      </c>
      <c r="B186" s="72">
        <f>B175*(F175/(F175+F174))+B174*F174/(F174+F175)</f>
        <v>9.650243578364831E-2</v>
      </c>
      <c r="C186" s="72">
        <f>(B186-'ERPs by country'!E3)/'ERPs by country'!E6</f>
        <v>3.1805955978087781E-2</v>
      </c>
      <c r="D186" s="65">
        <f>(B96*G96+B76*G76)/(B76+B96)</f>
        <v>0.31293133327548611</v>
      </c>
    </row>
    <row r="187" spans="1:11">
      <c r="A187" s="15" t="s">
        <v>116</v>
      </c>
      <c r="B187" s="65">
        <f>E40</f>
        <v>5.7996717400677508E-2</v>
      </c>
      <c r="C187" s="65">
        <f>D40</f>
        <v>6.710667922736965E-3</v>
      </c>
      <c r="D187" s="65">
        <f>G40</f>
        <v>0.2974</v>
      </c>
    </row>
    <row r="188" spans="1:11">
      <c r="A188" s="15" t="s">
        <v>190</v>
      </c>
      <c r="B188" s="65">
        <f>E139</f>
        <v>5.0299999999999997E-2</v>
      </c>
      <c r="C188" s="65">
        <f>F139</f>
        <v>2.6131717269259457E-3</v>
      </c>
      <c r="D188" s="65">
        <f>G139</f>
        <v>0.25</v>
      </c>
    </row>
    <row r="189" spans="1:11">
      <c r="A189" s="15" t="s">
        <v>299</v>
      </c>
      <c r="B189" s="65">
        <f>E167</f>
        <v>5.862847658796503E-2</v>
      </c>
      <c r="C189" s="65">
        <f>D167</f>
        <v>7.1224036194693797E-3</v>
      </c>
      <c r="D189" s="65">
        <f>E179</f>
        <v>0.25557231156583926</v>
      </c>
    </row>
    <row r="190" spans="1:11">
      <c r="A190" s="15" t="s">
        <v>300</v>
      </c>
      <c r="B190" s="72">
        <f>(B171*F171+B172*F172+B174*F174+B175*F175+B176*F176+B177*F177-B187*B40)/(F171+F172+F174+F175+F176+F177-B40)</f>
        <v>7.5155278901267733E-2</v>
      </c>
      <c r="C190" s="72">
        <f>(D171*F171+D172*F172+D174*F174+D175*F175+D176*F176+D177*F177-D41*B41)/(F171+F172+F174+F175+F176+F177-B41)</f>
        <v>1.7480453983443646E-2</v>
      </c>
      <c r="D190" s="65">
        <f>(E172*G172+E171*G171+E174*G174+E175*G175+E176*G176+E177*G177-B41/F180*D187)/(G171+G172+G174+G175+G176+G177-B41/F180)</f>
        <v>0.25110147332024457</v>
      </c>
    </row>
    <row r="191" spans="1:11">
      <c r="A191" s="15" t="s">
        <v>302</v>
      </c>
      <c r="B191" s="72">
        <f>(B172*F172-B35*E35-B38*E38-B40*E40)/(F172-(B35+B38+B40))</f>
        <v>7.5603140171842276E-2</v>
      </c>
      <c r="C191" s="72">
        <f>(B191-'ERPs by country'!E3)/'ERPs by country'!E6</f>
        <v>1.8185281814425094E-2</v>
      </c>
      <c r="D191" s="65">
        <f>(B57*G57-G36*B36-G39*B39-G40*B40)/(B57-B36-B39-B40)</f>
        <v>0.25267259309974732</v>
      </c>
    </row>
    <row r="192" spans="1:11">
      <c r="A192" s="15" t="s">
        <v>111</v>
      </c>
      <c r="B192" s="72">
        <f>E38</f>
        <v>7.979143589877824E-2</v>
      </c>
      <c r="C192" s="72">
        <f>D38</f>
        <v>2.091491502586354E-2</v>
      </c>
      <c r="D192" s="65">
        <f>G38</f>
        <v>0.3</v>
      </c>
    </row>
    <row r="193" spans="1:4">
      <c r="A193" s="15" t="s">
        <v>97</v>
      </c>
      <c r="B193" s="65">
        <f>E35</f>
        <v>5.7996717400677508E-2</v>
      </c>
      <c r="C193" s="65">
        <f>D35</f>
        <v>6.710667922736965E-3</v>
      </c>
      <c r="D193" s="65">
        <f>G35</f>
        <v>0.25</v>
      </c>
    </row>
    <row r="194" spans="1:4">
      <c r="A194" s="15" t="s">
        <v>277</v>
      </c>
      <c r="B194" s="65">
        <f>B180</f>
        <v>6.3168413565391907E-2</v>
      </c>
      <c r="C194" s="65">
        <f>D180</f>
        <v>1.03208923581577E-2</v>
      </c>
      <c r="D194" s="65">
        <f>E180</f>
        <v>0.25367576019974325</v>
      </c>
    </row>
    <row r="196" spans="1:4">
      <c r="A196" s="254" t="s">
        <v>530</v>
      </c>
      <c r="B196" s="254"/>
      <c r="C196" s="254"/>
    </row>
    <row r="197" spans="1:4">
      <c r="A197" s="17"/>
      <c r="B197" s="17" t="s">
        <v>304</v>
      </c>
      <c r="C197" s="17" t="s">
        <v>305</v>
      </c>
      <c r="D197" s="4" t="s">
        <v>306</v>
      </c>
    </row>
    <row r="198" spans="1:4" ht="14">
      <c r="A198" s="15" t="s">
        <v>529</v>
      </c>
      <c r="B198" s="72">
        <f>(B179*F179+B177*F177+B171*F171)/(F171+F177+F179)</f>
        <v>6.6010944278078104E-2</v>
      </c>
      <c r="C198" s="72">
        <f>(D179*F179+D177*F177+D171*F171)/(F171+F177+F179)</f>
        <v>1.1933770892249356E-2</v>
      </c>
      <c r="D198" s="200">
        <f>(E179*F179+E177*F177+E171*F171)/(F171+F177+F179)</f>
        <v>0.24561140922547112</v>
      </c>
    </row>
  </sheetData>
  <mergeCells count="2">
    <mergeCell ref="A182:C182"/>
    <mergeCell ref="A196:C196"/>
  </mergeCells>
  <phoneticPr fontId="11" type="noConversion"/>
  <pageMargins left="0.75" right="0.75" top="1" bottom="1" header="0.5" footer="0.5"/>
  <pageSetup scale="73" orientation="landscape" horizontalDpi="4294967292" verticalDpi="429496729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58"/>
  <sheetViews>
    <sheetView zoomScaleNormal="100" workbookViewId="0">
      <selection sqref="A1:I158"/>
    </sheetView>
  </sheetViews>
  <sheetFormatPr baseColWidth="10" defaultRowHeight="13"/>
  <cols>
    <col min="1" max="1" width="23.33203125" bestFit="1" customWidth="1"/>
    <col min="2" max="2" width="23.33203125" style="120" customWidth="1"/>
    <col min="3" max="3" width="16.33203125" style="25" bestFit="1" customWidth="1"/>
    <col min="4" max="4" width="16.33203125" style="25" customWidth="1"/>
    <col min="5" max="5" width="17.5" bestFit="1" customWidth="1"/>
    <col min="6" max="6" width="17.33203125" bestFit="1" customWidth="1"/>
    <col min="7" max="7" width="20.1640625" bestFit="1" customWidth="1"/>
    <col min="8" max="8" width="20.1640625" customWidth="1"/>
    <col min="9" max="9" width="20.83203125" bestFit="1" customWidth="1"/>
  </cols>
  <sheetData>
    <row r="1" spans="1:9" s="1" customFormat="1" ht="16">
      <c r="A1" s="51" t="s">
        <v>75</v>
      </c>
      <c r="B1" s="119" t="str">
        <f>'Country GDP'!B1</f>
        <v>GDP (in millions) in 2024</v>
      </c>
      <c r="C1" s="9" t="str">
        <f>'Sovereign Ratings (Moody''s,S&amp;P)'!D1</f>
        <v>Moody's rating</v>
      </c>
      <c r="D1" s="9" t="s">
        <v>455</v>
      </c>
      <c r="E1" s="51" t="s">
        <v>36</v>
      </c>
      <c r="F1" s="51" t="s">
        <v>434</v>
      </c>
      <c r="G1" s="52" t="s">
        <v>37</v>
      </c>
      <c r="H1" s="52" t="s">
        <v>347</v>
      </c>
      <c r="I1" s="51" t="s">
        <v>52</v>
      </c>
    </row>
    <row r="2" spans="1:9" ht="16">
      <c r="A2" s="8" t="str">
        <f>'Sovereign Ratings (Moody''s,S&amp;P)'!A2</f>
        <v>Abu Dhabi</v>
      </c>
      <c r="B2" s="119">
        <f>VLOOKUP(A2,'Country GDP'!$A$2:$B$181,2,FALSE)</f>
        <v>310000</v>
      </c>
      <c r="C2" s="9" t="str">
        <f>VLOOKUP(A2,'Sovereign Ratings (Moody''s,S&amp;P)'!$A$2:$D$158,4,FALSE)</f>
        <v>Aa2</v>
      </c>
      <c r="D2" s="11">
        <f>VLOOKUP(A2,'10-year CDS Spreads'!$A$2:$C$158,3,FALSE)</f>
        <v>9.1000000000000004E-3</v>
      </c>
      <c r="E2" s="21">
        <f>VLOOKUP(A2,'ERPs by country'!$A$9:$F$165,4,FALSE)</f>
        <v>4.6974675459158736E-3</v>
      </c>
      <c r="F2" s="10">
        <f>VLOOKUP(A2,'ERPs by country'!$A$9:$F$165,5,FALSE)</f>
        <v>5.4907702180474256E-2</v>
      </c>
      <c r="G2" s="14">
        <f>VLOOKUP(A2,'ERPs by country'!$A$9:$F$165,6,FALSE)</f>
        <v>7.2077021804742543E-3</v>
      </c>
      <c r="H2" s="14">
        <f>VLOOKUP(A2,'Country Tax Rates'!$A$2:$B$159,2,FALSE)</f>
        <v>0.09</v>
      </c>
      <c r="I2" s="15" t="str">
        <f>VLOOKUP(A2,'Regional lookup table'!$A$2:$B$162,2,FALSE)</f>
        <v>Middle East</v>
      </c>
    </row>
    <row r="3" spans="1:9" ht="16">
      <c r="A3" s="8" t="str">
        <f>'Sovereign Ratings (Moody''s,S&amp;P)'!A3</f>
        <v>Albania</v>
      </c>
      <c r="B3" s="119">
        <f>VLOOKUP(A3,'Country GDP'!$A$2:$B$181,2,FALSE)</f>
        <v>27046.429296667295</v>
      </c>
      <c r="C3" s="9" t="str">
        <f>VLOOKUP(A3,'Sovereign Ratings (Moody''s,S&amp;P)'!$A$2:$D$158,4,FALSE)</f>
        <v>Ba3</v>
      </c>
      <c r="D3" s="11" t="str">
        <f>VLOOKUP(A3,'10-year CDS Spreads'!$A$2:$C$158,3,FALSE)</f>
        <v>NA</v>
      </c>
      <c r="E3" s="21">
        <f>VLOOKUP(A3,'ERPs by country'!$A$9:$F$165,4,FALSE)</f>
        <v>3.4224406405958516E-2</v>
      </c>
      <c r="F3" s="10">
        <f>VLOOKUP(A3,'ERPs by country'!$A$9:$F$165,5,FALSE)</f>
        <v>0.1002132587434553</v>
      </c>
      <c r="G3" s="14">
        <f>VLOOKUP(A3,'ERPs by country'!$A$9:$F$165,6,FALSE)</f>
        <v>5.2513258743455297E-2</v>
      </c>
      <c r="H3" s="14">
        <f>VLOOKUP(A3,'Country Tax Rates'!$A$2:$B$159,2,FALSE)</f>
        <v>0.15</v>
      </c>
      <c r="I3" s="15" t="str">
        <f>VLOOKUP(A3,'Regional lookup table'!$A$2:$B$162,2,FALSE)</f>
        <v>Eastern Europe &amp; Russia</v>
      </c>
    </row>
    <row r="4" spans="1:9" ht="16">
      <c r="A4" s="8" t="str">
        <f>'Sovereign Ratings (Moody''s,S&amp;P)'!A4</f>
        <v>Andorra (Principality of)</v>
      </c>
      <c r="B4" s="119">
        <f>VLOOKUP(A4,'Country GDP'!$A$2:$B$181,2,FALSE)</f>
        <v>4039.8424054811721</v>
      </c>
      <c r="C4" s="9" t="str">
        <f>VLOOKUP(A4,'Sovereign Ratings (Moody''s,S&amp;P)'!$A$2:$D$158,4,FALSE)</f>
        <v>Baa1</v>
      </c>
      <c r="D4" s="11" t="str">
        <f>VLOOKUP(A4,'10-year CDS Spreads'!$A$2:$C$158,3,FALSE)</f>
        <v>NA</v>
      </c>
      <c r="E4" s="21">
        <f>VLOOKUP(A4,'ERPs by country'!$A$9:$F$165,4,FALSE)</f>
        <v>1.5210847291537115E-2</v>
      </c>
      <c r="F4" s="10">
        <f>VLOOKUP(A4,'ERPs by country'!$A$9:$F$165,5,FALSE)</f>
        <v>7.1039226108202347E-2</v>
      </c>
      <c r="G4" s="14">
        <f>VLOOKUP(A4,'ERPs by country'!$A$9:$F$165,6,FALSE)</f>
        <v>2.3339226108202347E-2</v>
      </c>
      <c r="H4" s="14">
        <f>VLOOKUP(A4,'Country Tax Rates'!$A$2:$B$159,2,FALSE)</f>
        <v>0.1</v>
      </c>
      <c r="I4" s="15" t="str">
        <f>VLOOKUP(A4,'Regional lookup table'!$A$2:$B$162,2,FALSE)</f>
        <v>Western Europe</v>
      </c>
    </row>
    <row r="5" spans="1:9" ht="16">
      <c r="A5" s="8" t="str">
        <f>'Sovereign Ratings (Moody''s,S&amp;P)'!A5</f>
        <v>Angola</v>
      </c>
      <c r="B5" s="119">
        <f>VLOOKUP(A5,'Country GDP'!$A$2:$B$181,2,FALSE)</f>
        <v>100998.91678107891</v>
      </c>
      <c r="C5" s="9" t="str">
        <f>VLOOKUP(A5,'Sovereign Ratings (Moody''s,S&amp;P)'!$A$2:$D$158,4,FALSE)</f>
        <v>B3</v>
      </c>
      <c r="D5" s="11">
        <f>VLOOKUP(A5,'10-year CDS Spreads'!$A$2:$C$158,3,FALSE)</f>
        <v>6.6900000000000001E-2</v>
      </c>
      <c r="E5" s="21">
        <f>VLOOKUP(A5,'ERPs by country'!$A$9:$F$165,4,FALSE)</f>
        <v>6.1849989354559008E-2</v>
      </c>
      <c r="F5" s="10">
        <f>VLOOKUP(A5,'ERPs by country'!$A$9:$F$165,5,FALSE)</f>
        <v>0.14260141204291102</v>
      </c>
      <c r="G5" s="14">
        <f>VLOOKUP(A5,'ERPs by country'!$A$9:$F$165,6,FALSE)</f>
        <v>9.4901412042911026E-2</v>
      </c>
      <c r="H5" s="14">
        <f>VLOOKUP(A5,'Country Tax Rates'!$A$2:$B$159,2,FALSE)</f>
        <v>0.25</v>
      </c>
      <c r="I5" s="15" t="str">
        <f>VLOOKUP(A5,'Regional lookup table'!$A$2:$B$162,2,FALSE)</f>
        <v>Africa</v>
      </c>
    </row>
    <row r="6" spans="1:9" ht="16">
      <c r="A6" s="8" t="str">
        <f>'Sovereign Ratings (Moody''s,S&amp;P)'!A6</f>
        <v>Argentina</v>
      </c>
      <c r="B6" s="119">
        <f>VLOOKUP(A6,'Country GDP'!$A$2:$B$181,2,FALSE)</f>
        <v>638365.45534004038</v>
      </c>
      <c r="C6" s="9" t="str">
        <f>VLOOKUP(A6,'Sovereign Ratings (Moody''s,S&amp;P)'!$A$2:$D$158,4,FALSE)</f>
        <v>Caa1</v>
      </c>
      <c r="D6" s="11" t="str">
        <f>VLOOKUP(A6,'10-year CDS Spreads'!$A$2:$C$158,3,FALSE)</f>
        <v>NA</v>
      </c>
      <c r="E6" s="21">
        <f>VLOOKUP(A6,'ERPs by country'!$A$9:$F$165,4,FALSE)</f>
        <v>7.1356768911769716E-2</v>
      </c>
      <c r="F6" s="10">
        <f>VLOOKUP(A6,'ERPs by country'!$A$9:$F$165,5,FALSE)</f>
        <v>0.15718842836053751</v>
      </c>
      <c r="G6" s="14">
        <f>VLOOKUP(A6,'ERPs by country'!$A$9:$F$165,6,FALSE)</f>
        <v>0.10948842836053752</v>
      </c>
      <c r="H6" s="14">
        <f>VLOOKUP(A6,'Country Tax Rates'!$A$2:$B$159,2,FALSE)</f>
        <v>0.35</v>
      </c>
      <c r="I6" s="15" t="str">
        <f>VLOOKUP(A6,'Regional lookup table'!$A$2:$B$162,2,FALSE)</f>
        <v>Central and South America</v>
      </c>
    </row>
    <row r="7" spans="1:9" ht="16">
      <c r="A7" s="8" t="str">
        <f>'Sovereign Ratings (Moody''s,S&amp;P)'!A7</f>
        <v>Armenia</v>
      </c>
      <c r="B7" s="119">
        <f>VLOOKUP(A7,'Country GDP'!$A$2:$B$181,2,FALSE)</f>
        <v>25955.275380032082</v>
      </c>
      <c r="C7" s="9" t="str">
        <f>VLOOKUP(A7,'Sovereign Ratings (Moody''s,S&amp;P)'!$A$2:$D$158,4,FALSE)</f>
        <v>Ba3</v>
      </c>
      <c r="D7" s="11" t="str">
        <f>VLOOKUP(A7,'10-year CDS Spreads'!$A$2:$C$158,3,FALSE)</f>
        <v>NA</v>
      </c>
      <c r="E7" s="21">
        <f>VLOOKUP(A7,'ERPs by country'!$A$9:$F$165,4,FALSE)</f>
        <v>3.4224406405958516E-2</v>
      </c>
      <c r="F7" s="10">
        <f>VLOOKUP(A7,'ERPs by country'!$A$9:$F$165,5,FALSE)</f>
        <v>0.1002132587434553</v>
      </c>
      <c r="G7" s="14">
        <f>VLOOKUP(A7,'ERPs by country'!$A$9:$F$165,6,FALSE)</f>
        <v>5.2513258743455297E-2</v>
      </c>
      <c r="H7" s="14">
        <f>VLOOKUP(A7,'Country Tax Rates'!$A$2:$B$159,2,FALSE)</f>
        <v>0.18</v>
      </c>
      <c r="I7" s="15" t="str">
        <f>VLOOKUP(A7,'Regional lookup table'!$A$2:$B$162,2,FALSE)</f>
        <v>Eastern Europe &amp; Russia</v>
      </c>
    </row>
    <row r="8" spans="1:9" ht="16">
      <c r="A8" s="8" t="str">
        <f>'Sovereign Ratings (Moody''s,S&amp;P)'!A8</f>
        <v>Aruba</v>
      </c>
      <c r="B8" s="119">
        <f>VLOOKUP(A8,'Country GDP'!$A$2:$B$181,2,FALSE)</f>
        <v>4265.6506730023575</v>
      </c>
      <c r="C8" s="9" t="str">
        <f>VLOOKUP(A8,'Sovereign Ratings (Moody''s,S&amp;P)'!$A$2:$D$158,4,FALSE)</f>
        <v>Baa3</v>
      </c>
      <c r="D8" s="11" t="str">
        <f>VLOOKUP(A8,'10-year CDS Spreads'!$A$2:$C$158,3,FALSE)</f>
        <v>NA</v>
      </c>
      <c r="E8" s="21">
        <f>VLOOKUP(A8,'ERPs by country'!$A$9:$F$165,4,FALSE)</f>
        <v>2.091491502586354E-2</v>
      </c>
      <c r="F8" s="10">
        <f>VLOOKUP(A8,'ERPs by country'!$A$9:$F$165,5,FALSE)</f>
        <v>7.979143589877824E-2</v>
      </c>
      <c r="G8" s="14">
        <f>VLOOKUP(A8,'ERPs by country'!$A$9:$F$165,6,FALSE)</f>
        <v>3.2091435898778241E-2</v>
      </c>
      <c r="H8" s="14">
        <f>VLOOKUP(A8,'Country Tax Rates'!$A$2:$B$159,2,FALSE)</f>
        <v>0.22</v>
      </c>
      <c r="I8" s="15" t="str">
        <f>VLOOKUP(A8,'Regional lookup table'!$A$2:$B$162,2,FALSE)</f>
        <v>Caribbean</v>
      </c>
    </row>
    <row r="9" spans="1:9" ht="16">
      <c r="A9" s="8" t="str">
        <f>'Sovereign Ratings (Moody''s,S&amp;P)'!A9</f>
        <v>Australia</v>
      </c>
      <c r="B9" s="119">
        <f>VLOOKUP(A9,'Country GDP'!$A$2:$B$181,2,FALSE)</f>
        <v>1757022.4516528314</v>
      </c>
      <c r="C9" s="9" t="str">
        <f>VLOOKUP(A9,'Sovereign Ratings (Moody''s,S&amp;P)'!$A$2:$D$158,4,FALSE)</f>
        <v>Aaa</v>
      </c>
      <c r="D9" s="11">
        <f>VLOOKUP(A9,'10-year CDS Spreads'!$A$2:$C$158,3,FALSE)</f>
        <v>2.5000000000000001E-3</v>
      </c>
      <c r="E9" s="21">
        <f>VLOOKUP(A9,'ERPs by country'!$A$9:$F$165,4,FALSE)</f>
        <v>0</v>
      </c>
      <c r="F9" s="10">
        <f>VLOOKUP(A9,'ERPs by country'!$A$9:$F$165,5,FALSE)</f>
        <v>4.7699999999999999E-2</v>
      </c>
      <c r="G9" s="14">
        <f>VLOOKUP(A9,'ERPs by country'!$A$9:$F$165,6,FALSE)</f>
        <v>0</v>
      </c>
      <c r="H9" s="14">
        <f>VLOOKUP(A9,'Country Tax Rates'!$A$2:$B$159,2,FALSE)</f>
        <v>0.3</v>
      </c>
      <c r="I9" s="15" t="str">
        <f>VLOOKUP(A9,'Regional lookup table'!$A$2:$B$162,2,FALSE)</f>
        <v>Australia &amp; New Zealand</v>
      </c>
    </row>
    <row r="10" spans="1:9" ht="16">
      <c r="A10" s="8" t="str">
        <f>'Sovereign Ratings (Moody''s,S&amp;P)'!A10</f>
        <v>Austria</v>
      </c>
      <c r="B10" s="119">
        <f>VLOOKUP(A10,'Country GDP'!$A$2:$B$181,2,FALSE)</f>
        <v>534790.7204668218</v>
      </c>
      <c r="C10" s="9" t="str">
        <f>VLOOKUP(A10,'Sovereign Ratings (Moody''s,S&amp;P)'!$A$2:$D$158,4,FALSE)</f>
        <v>Aa1</v>
      </c>
      <c r="D10" s="11">
        <f>VLOOKUP(A10,'10-year CDS Spreads'!$A$2:$C$158,3,FALSE)</f>
        <v>3.0000000000000001E-3</v>
      </c>
      <c r="E10" s="21">
        <f>VLOOKUP(A10,'ERPs by country'!$A$9:$F$165,4,FALSE)</f>
        <v>2.6131717269259457E-3</v>
      </c>
      <c r="F10" s="10">
        <f>VLOOKUP(A10,'ERPs by country'!$A$9:$F$165,5,FALSE)</f>
        <v>5.1709599506545502E-2</v>
      </c>
      <c r="G10" s="14">
        <f>VLOOKUP(A10,'ERPs by country'!$A$9:$F$165,6,FALSE)</f>
        <v>4.0095995065455052E-3</v>
      </c>
      <c r="H10" s="14">
        <f>VLOOKUP(A10,'Country Tax Rates'!$A$2:$B$159,2,FALSE)</f>
        <v>0.23</v>
      </c>
      <c r="I10" s="15" t="str">
        <f>VLOOKUP(A10,'Regional lookup table'!$A$2:$B$162,2,FALSE)</f>
        <v>Western Europe</v>
      </c>
    </row>
    <row r="11" spans="1:9" ht="16">
      <c r="A11" s="8" t="str">
        <f>'Sovereign Ratings (Moody''s,S&amp;P)'!A11</f>
        <v>Azerbaijan</v>
      </c>
      <c r="B11" s="119">
        <f>VLOOKUP(A11,'Country GDP'!$A$2:$B$181,2,FALSE)</f>
        <v>74315.882352941175</v>
      </c>
      <c r="C11" s="9" t="str">
        <f>VLOOKUP(A11,'Sovereign Ratings (Moody''s,S&amp;P)'!$A$2:$D$158,4,FALSE)</f>
        <v>Baa3</v>
      </c>
      <c r="D11" s="11" t="str">
        <f>VLOOKUP(A11,'10-year CDS Spreads'!$A$2:$C$158,3,FALSE)</f>
        <v>NA</v>
      </c>
      <c r="E11" s="21">
        <f>VLOOKUP(A11,'ERPs by country'!$A$9:$F$165,4,FALSE)</f>
        <v>2.091491502586354E-2</v>
      </c>
      <c r="F11" s="10">
        <f>VLOOKUP(A11,'ERPs by country'!$A$9:$F$165,5,FALSE)</f>
        <v>7.979143589877824E-2</v>
      </c>
      <c r="G11" s="14">
        <f>VLOOKUP(A11,'ERPs by country'!$A$9:$F$165,6,FALSE)</f>
        <v>3.2091435898778241E-2</v>
      </c>
      <c r="H11" s="14">
        <f>VLOOKUP(A11,'Country Tax Rates'!$A$2:$B$159,2,FALSE)</f>
        <v>0.2</v>
      </c>
      <c r="I11" s="15" t="str">
        <f>VLOOKUP(A11,'Regional lookup table'!$A$2:$B$162,2,FALSE)</f>
        <v>Eastern Europe &amp; Russia</v>
      </c>
    </row>
    <row r="12" spans="1:9" ht="16">
      <c r="A12" s="8" t="str">
        <f>'Sovereign Ratings (Moody''s,S&amp;P)'!A12</f>
        <v>Bahamas</v>
      </c>
      <c r="B12" s="119">
        <f>VLOOKUP(A12,'Country GDP'!$A$2:$B$181,2,FALSE)</f>
        <v>15832.8</v>
      </c>
      <c r="C12" s="9" t="str">
        <f>VLOOKUP(A12,'Sovereign Ratings (Moody''s,S&amp;P)'!$A$2:$D$158,4,FALSE)</f>
        <v>B1</v>
      </c>
      <c r="D12" s="11" t="str">
        <f>VLOOKUP(A12,'10-year CDS Spreads'!$A$2:$C$158,3,FALSE)</f>
        <v>NA</v>
      </c>
      <c r="E12" s="21">
        <f>VLOOKUP(A12,'ERPs by country'!$A$9:$F$165,4,FALSE)</f>
        <v>4.2836430240137613E-2</v>
      </c>
      <c r="F12" s="10">
        <f>VLOOKUP(A12,'ERPs by country'!$A$9:$F$165,5,FALSE)</f>
        <v>0.1134273794076581</v>
      </c>
      <c r="G12" s="14">
        <f>VLOOKUP(A12,'ERPs by country'!$A$9:$F$165,6,FALSE)</f>
        <v>6.572737940765809E-2</v>
      </c>
      <c r="H12" s="14">
        <f>VLOOKUP(A12,'Country Tax Rates'!$A$2:$B$159,2,FALSE)</f>
        <v>0</v>
      </c>
      <c r="I12" s="15" t="str">
        <f>VLOOKUP(A12,'Regional lookup table'!$A$2:$B$162,2,FALSE)</f>
        <v>Caribbean</v>
      </c>
    </row>
    <row r="13" spans="1:9" ht="16">
      <c r="A13" s="8" t="str">
        <f>'Sovereign Ratings (Moody''s,S&amp;P)'!A13</f>
        <v>Bahrain</v>
      </c>
      <c r="B13" s="119">
        <f>VLOOKUP(A13,'Country GDP'!$A$2:$B$181,2,FALSE)</f>
        <v>47109.734308510633</v>
      </c>
      <c r="C13" s="9" t="str">
        <f>VLOOKUP(A13,'Sovereign Ratings (Moody''s,S&amp;P)'!$A$2:$D$158,4,FALSE)</f>
        <v>B2</v>
      </c>
      <c r="D13" s="11">
        <f>VLOOKUP(A13,'10-year CDS Spreads'!$A$2:$C$158,3,FALSE)</f>
        <v>3.5200000000000002E-2</v>
      </c>
      <c r="E13" s="21">
        <f>VLOOKUP(A13,'ERPs by country'!$A$9:$F$165,4,FALSE)</f>
        <v>5.2343209797348314E-2</v>
      </c>
      <c r="F13" s="10">
        <f>VLOOKUP(A13,'ERPs by country'!$A$9:$F$165,5,FALSE)</f>
        <v>0.12801439572528456</v>
      </c>
      <c r="G13" s="14">
        <f>VLOOKUP(A13,'ERPs by country'!$A$9:$F$165,6,FALSE)</f>
        <v>8.0314395725284565E-2</v>
      </c>
      <c r="H13" s="14">
        <f>VLOOKUP(A13,'Country Tax Rates'!$A$2:$B$159,2,FALSE)</f>
        <v>0</v>
      </c>
      <c r="I13" s="15" t="str">
        <f>VLOOKUP(A13,'Regional lookup table'!$A$2:$B$162,2,FALSE)</f>
        <v>Middle East</v>
      </c>
    </row>
    <row r="14" spans="1:9" ht="16">
      <c r="A14" s="8" t="str">
        <f>'Sovereign Ratings (Moody''s,S&amp;P)'!A14</f>
        <v>Bangladesh</v>
      </c>
      <c r="B14" s="119">
        <f>VLOOKUP(A14,'Country GDP'!$A$2:$B$181,2,FALSE)</f>
        <v>450119.43206885224</v>
      </c>
      <c r="C14" s="9" t="str">
        <f>VLOOKUP(A14,'Sovereign Ratings (Moody''s,S&amp;P)'!$A$2:$D$158,4,FALSE)</f>
        <v>B2</v>
      </c>
      <c r="D14" s="11" t="str">
        <f>VLOOKUP(A14,'10-year CDS Spreads'!$A$2:$C$158,3,FALSE)</f>
        <v>NA</v>
      </c>
      <c r="E14" s="21">
        <f>VLOOKUP(A14,'ERPs by country'!$A$9:$F$165,4,FALSE)</f>
        <v>5.2343209797348314E-2</v>
      </c>
      <c r="F14" s="10">
        <f>VLOOKUP(A14,'ERPs by country'!$A$9:$F$165,5,FALSE)</f>
        <v>0.12801439572528456</v>
      </c>
      <c r="G14" s="14">
        <f>VLOOKUP(A14,'ERPs by country'!$A$9:$F$165,6,FALSE)</f>
        <v>8.0314395725284565E-2</v>
      </c>
      <c r="H14" s="14">
        <f>VLOOKUP(A14,'Country Tax Rates'!$A$2:$B$159,2,FALSE)</f>
        <v>0.27500000000000002</v>
      </c>
      <c r="I14" s="15" t="str">
        <f>VLOOKUP(A14,'Regional lookup table'!$A$2:$B$162,2,FALSE)</f>
        <v>Asia</v>
      </c>
    </row>
    <row r="15" spans="1:9" ht="16">
      <c r="A15" s="8" t="str">
        <f>'Sovereign Ratings (Moody''s,S&amp;P)'!A15</f>
        <v>Barbados</v>
      </c>
      <c r="B15" s="119">
        <f>VLOOKUP(A15,'Country GDP'!$A$2:$B$181,2,FALSE)</f>
        <v>7498.05</v>
      </c>
      <c r="C15" s="9" t="str">
        <f>VLOOKUP(A15,'Sovereign Ratings (Moody''s,S&amp;P)'!$A$2:$D$158,4,FALSE)</f>
        <v>B2</v>
      </c>
      <c r="D15" s="11" t="str">
        <f>VLOOKUP(A15,'10-year CDS Spreads'!$A$2:$C$158,3,FALSE)</f>
        <v>NA</v>
      </c>
      <c r="E15" s="21">
        <f>VLOOKUP(A15,'ERPs by country'!$A$9:$F$165,4,FALSE)</f>
        <v>5.2343209797348314E-2</v>
      </c>
      <c r="F15" s="10">
        <f>VLOOKUP(A15,'ERPs by country'!$A$9:$F$165,5,FALSE)</f>
        <v>0.12801439572528456</v>
      </c>
      <c r="G15" s="14">
        <f>VLOOKUP(A15,'ERPs by country'!$A$9:$F$165,6,FALSE)</f>
        <v>8.0314395725284565E-2</v>
      </c>
      <c r="H15" s="14">
        <f>VLOOKUP(A15,'Country Tax Rates'!$A$2:$B$159,2,FALSE)</f>
        <v>0.09</v>
      </c>
      <c r="I15" s="15" t="str">
        <f>VLOOKUP(A15,'Regional lookup table'!$A$2:$B$162,2,FALSE)</f>
        <v>Caribbean</v>
      </c>
    </row>
    <row r="16" spans="1:9" ht="16">
      <c r="A16" s="8" t="str">
        <f>'Sovereign Ratings (Moody''s,S&amp;P)'!A16</f>
        <v>Belarus</v>
      </c>
      <c r="B16" s="119">
        <f>VLOOKUP(A16,'Country GDP'!$A$2:$B$181,2,FALSE)</f>
        <v>75961.865471912926</v>
      </c>
      <c r="C16" s="9" t="str">
        <f>VLOOKUP(A16,'Sovereign Ratings (Moody''s,S&amp;P)'!$A$2:$D$158,4,FALSE)</f>
        <v>C</v>
      </c>
      <c r="D16" s="11" t="str">
        <f>VLOOKUP(A16,'10-year CDS Spreads'!$A$2:$C$158,3,FALSE)</f>
        <v>NA</v>
      </c>
      <c r="E16" s="21">
        <f>VLOOKUP(A16,'ERPs by country'!$A$9:$F$165,4,FALSE)</f>
        <v>0.17499999999999999</v>
      </c>
      <c r="F16" s="10">
        <f>VLOOKUP(A16,'ERPs by country'!$A$9:$F$165,5,FALSE)</f>
        <v>0.31621657180253437</v>
      </c>
      <c r="G16" s="14">
        <f>VLOOKUP(A16,'ERPs by country'!$A$9:$F$165,6,FALSE)</f>
        <v>0.26851657180253435</v>
      </c>
      <c r="H16" s="14">
        <f>VLOOKUP(A16,'Country Tax Rates'!$A$2:$B$159,2,FALSE)</f>
        <v>0.25</v>
      </c>
      <c r="I16" s="15" t="str">
        <f>VLOOKUP(A16,'Regional lookup table'!$A$2:$B$162,2,FALSE)</f>
        <v>Eastern Europe &amp; Russia</v>
      </c>
    </row>
    <row r="17" spans="1:9" ht="16">
      <c r="A17" s="8" t="str">
        <f>'Sovereign Ratings (Moody''s,S&amp;P)'!A17</f>
        <v>Belgium</v>
      </c>
      <c r="B17" s="119">
        <f>VLOOKUP(A17,'Country GDP'!$A$2:$B$181,2,FALSE)</f>
        <v>671370.08163640613</v>
      </c>
      <c r="C17" s="9" t="str">
        <f>VLOOKUP(A17,'Sovereign Ratings (Moody''s,S&amp;P)'!$A$2:$D$158,4,FALSE)</f>
        <v>Aa3</v>
      </c>
      <c r="D17" s="11">
        <f>VLOOKUP(A17,'10-year CDS Spreads'!$A$2:$C$158,3,FALSE)</f>
        <v>4.1999999999999997E-3</v>
      </c>
      <c r="E17" s="21">
        <f>VLOOKUP(A17,'ERPs by country'!$A$9:$F$165,4,FALSE)</f>
        <v>5.7040677343264193E-3</v>
      </c>
      <c r="F17" s="10">
        <f>VLOOKUP(A17,'ERPs by country'!$A$9:$F$165,5,FALSE)</f>
        <v>5.6452209790575886E-2</v>
      </c>
      <c r="G17" s="14">
        <f>VLOOKUP(A17,'ERPs by country'!$A$9:$F$165,6,FALSE)</f>
        <v>8.7522097905758829E-3</v>
      </c>
      <c r="H17" s="14">
        <f>VLOOKUP(A17,'Country Tax Rates'!$A$2:$B$159,2,FALSE)</f>
        <v>0.25</v>
      </c>
      <c r="I17" s="15" t="str">
        <f>VLOOKUP(A17,'Regional lookup table'!$A$2:$B$162,2,FALSE)</f>
        <v>Western Europe</v>
      </c>
    </row>
    <row r="18" spans="1:9" ht="16">
      <c r="A18" s="8" t="str">
        <f>'Sovereign Ratings (Moody''s,S&amp;P)'!A18</f>
        <v>Belize</v>
      </c>
      <c r="B18" s="119">
        <f>VLOOKUP(A18,'Country GDP'!$A$2:$B$181,2,FALSE)</f>
        <v>3203.6318000000001</v>
      </c>
      <c r="C18" s="9" t="str">
        <f>VLOOKUP(A18,'Sovereign Ratings (Moody''s,S&amp;P)'!$A$2:$D$158,4,FALSE)</f>
        <v>Caa1</v>
      </c>
      <c r="D18" s="11" t="str">
        <f>VLOOKUP(A18,'10-year CDS Spreads'!$A$2:$C$158,3,FALSE)</f>
        <v>NA</v>
      </c>
      <c r="E18" s="21">
        <f>VLOOKUP(A18,'ERPs by country'!$A$9:$F$165,4,FALSE)</f>
        <v>7.1356768911769716E-2</v>
      </c>
      <c r="F18" s="10">
        <f>VLOOKUP(A18,'ERPs by country'!$A$9:$F$165,5,FALSE)</f>
        <v>0.15718842836053751</v>
      </c>
      <c r="G18" s="14">
        <f>VLOOKUP(A18,'ERPs by country'!$A$9:$F$165,6,FALSE)</f>
        <v>0.10948842836053752</v>
      </c>
      <c r="H18" s="14">
        <f>VLOOKUP(A18,'Country Tax Rates'!$A$2:$B$159,2,FALSE)</f>
        <v>0</v>
      </c>
      <c r="I18" s="15" t="str">
        <f>VLOOKUP(A18,'Regional lookup table'!$A$2:$B$162,2,FALSE)</f>
        <v>Central and South America</v>
      </c>
    </row>
    <row r="19" spans="1:9" ht="16">
      <c r="A19" s="8" t="str">
        <f>'Sovereign Ratings (Moody''s,S&amp;P)'!A19</f>
        <v>Benin</v>
      </c>
      <c r="B19" s="119">
        <f>VLOOKUP(A19,'Country GDP'!$A$2:$B$181,2,FALSE)</f>
        <v>21482.643706424849</v>
      </c>
      <c r="C19" s="9" t="str">
        <f>VLOOKUP(A19,'Sovereign Ratings (Moody''s,S&amp;P)'!$A$2:$D$158,4,FALSE)</f>
        <v>B1</v>
      </c>
      <c r="D19" s="11" t="str">
        <f>VLOOKUP(A19,'10-year CDS Spreads'!$A$2:$C$158,3,FALSE)</f>
        <v>NA</v>
      </c>
      <c r="E19" s="21">
        <f>VLOOKUP(A19,'ERPs by country'!$A$9:$F$165,4,FALSE)</f>
        <v>4.2836430240137613E-2</v>
      </c>
      <c r="F19" s="10">
        <f>VLOOKUP(A19,'ERPs by country'!$A$9:$F$165,5,FALSE)</f>
        <v>0.1134273794076581</v>
      </c>
      <c r="G19" s="14">
        <f>VLOOKUP(A19,'ERPs by country'!$A$9:$F$165,6,FALSE)</f>
        <v>6.572737940765809E-2</v>
      </c>
      <c r="H19" s="14">
        <f>VLOOKUP(A19,'Country Tax Rates'!$A$2:$B$159,2,FALSE)</f>
        <v>0.3</v>
      </c>
      <c r="I19" s="15" t="str">
        <f>VLOOKUP(A19,'Regional lookup table'!$A$2:$B$162,2,FALSE)</f>
        <v>Africa</v>
      </c>
    </row>
    <row r="20" spans="1:9" ht="16">
      <c r="A20" s="8" t="str">
        <f>'Sovereign Ratings (Moody''s,S&amp;P)'!A20</f>
        <v>Bermuda</v>
      </c>
      <c r="B20" s="119">
        <f>VLOOKUP(A20,'Country GDP'!$A$2:$B$181,2,FALSE)</f>
        <v>9233.6</v>
      </c>
      <c r="C20" s="9" t="str">
        <f>VLOOKUP(A20,'Sovereign Ratings (Moody''s,S&amp;P)'!$A$2:$D$158,4,FALSE)</f>
        <v>A2</v>
      </c>
      <c r="D20" s="11" t="str">
        <f>VLOOKUP(A20,'10-year CDS Spreads'!$A$2:$C$158,3,FALSE)</f>
        <v>NA</v>
      </c>
      <c r="E20" s="21">
        <f>VLOOKUP(A20,'ERPs by country'!$A$9:$F$165,4,FALSE)</f>
        <v>8.0528015072843552E-3</v>
      </c>
      <c r="F20" s="10">
        <f>VLOOKUP(A20,'ERPs by country'!$A$9:$F$165,5,FALSE)</f>
        <v>6.0056060880813007E-2</v>
      </c>
      <c r="G20" s="14">
        <f>VLOOKUP(A20,'ERPs by country'!$A$9:$F$165,6,FALSE)</f>
        <v>1.2356060880813008E-2</v>
      </c>
      <c r="H20" s="14">
        <f>VLOOKUP(A20,'Country Tax Rates'!$A$2:$B$159,2,FALSE)</f>
        <v>0</v>
      </c>
      <c r="I20" s="15" t="str">
        <f>VLOOKUP(A20,'Regional lookup table'!$A$2:$B$162,2,FALSE)</f>
        <v>Caribbean</v>
      </c>
    </row>
    <row r="21" spans="1:9" ht="16">
      <c r="A21" s="8" t="str">
        <f>'Sovereign Ratings (Moody''s,S&amp;P)'!A21</f>
        <v>Bolivia</v>
      </c>
      <c r="B21" s="119">
        <f>VLOOKUP(A21,'Country GDP'!$A$2:$B$181,2,FALSE)</f>
        <v>54881.327452966711</v>
      </c>
      <c r="C21" s="9" t="str">
        <f>VLOOKUP(A21,'Sovereign Ratings (Moody''s,S&amp;P)'!$A$2:$D$158,4,FALSE)</f>
        <v>Caa3</v>
      </c>
      <c r="D21" s="11" t="str">
        <f>VLOOKUP(A21,'10-year CDS Spreads'!$A$2:$C$158,3,FALSE)</f>
        <v>NA</v>
      </c>
      <c r="E21" s="21">
        <f>VLOOKUP(A21,'ERPs by country'!$A$9:$F$165,4,FALSE)</f>
        <v>9.5179640037485941E-2</v>
      </c>
      <c r="F21" s="10">
        <f>VLOOKUP(A21,'ERPs by country'!$A$9:$F$165,5,FALSE)</f>
        <v>0.19374177513294266</v>
      </c>
      <c r="G21" s="14">
        <f>VLOOKUP(A21,'ERPs by country'!$A$9:$F$165,6,FALSE)</f>
        <v>0.14604177513294267</v>
      </c>
      <c r="H21" s="14">
        <f>VLOOKUP(A21,'Country Tax Rates'!$A$2:$B$159,2,FALSE)</f>
        <v>0.25</v>
      </c>
      <c r="I21" s="15" t="str">
        <f>VLOOKUP(A21,'Regional lookup table'!$A$2:$B$162,2,FALSE)</f>
        <v>Central and South America</v>
      </c>
    </row>
    <row r="22" spans="1:9" ht="16">
      <c r="A22" s="8" t="str">
        <f>'Sovereign Ratings (Moody''s,S&amp;P)'!A22</f>
        <v>Bosnia and Herzegovina</v>
      </c>
      <c r="B22" s="119">
        <f>VLOOKUP(A22,'Country GDP'!$A$2:$B$181,2,FALSE)</f>
        <v>29613.57202289933</v>
      </c>
      <c r="C22" s="9" t="str">
        <f>VLOOKUP(A22,'Sovereign Ratings (Moody''s,S&amp;P)'!$A$2:$D$158,4,FALSE)</f>
        <v>B3</v>
      </c>
      <c r="D22" s="11" t="str">
        <f>VLOOKUP(A22,'10-year CDS Spreads'!$A$2:$C$158,3,FALSE)</f>
        <v>NA</v>
      </c>
      <c r="E22" s="21">
        <f>VLOOKUP(A22,'ERPs by country'!$A$9:$F$165,4,FALSE)</f>
        <v>6.1849989354559008E-2</v>
      </c>
      <c r="F22" s="10">
        <f>VLOOKUP(A22,'ERPs by country'!$A$9:$F$165,5,FALSE)</f>
        <v>0.14260141204291102</v>
      </c>
      <c r="G22" s="14">
        <f>VLOOKUP(A22,'ERPs by country'!$A$9:$F$165,6,FALSE)</f>
        <v>9.4901412042911026E-2</v>
      </c>
      <c r="H22" s="14">
        <f>VLOOKUP(A22,'Country Tax Rates'!$A$2:$B$159,2,FALSE)</f>
        <v>0.1</v>
      </c>
      <c r="I22" s="15" t="str">
        <f>VLOOKUP(A22,'Regional lookup table'!$A$2:$B$162,2,FALSE)</f>
        <v>Eastern Europe &amp; Russia</v>
      </c>
    </row>
    <row r="23" spans="1:9" ht="16">
      <c r="A23" s="8" t="str">
        <f>'Sovereign Ratings (Moody''s,S&amp;P)'!A23</f>
        <v>Botswana</v>
      </c>
      <c r="B23" s="119">
        <f>VLOOKUP(A23,'Country GDP'!$A$2:$B$181,2,FALSE)</f>
        <v>19402.06351290664</v>
      </c>
      <c r="C23" s="9" t="str">
        <f>VLOOKUP(A23,'Sovereign Ratings (Moody''s,S&amp;P)'!$A$2:$D$158,4,FALSE)</f>
        <v>Baa1</v>
      </c>
      <c r="D23" s="11" t="str">
        <f>VLOOKUP(A23,'10-year CDS Spreads'!$A$2:$C$158,3,FALSE)</f>
        <v>NA</v>
      </c>
      <c r="E23" s="21">
        <f>VLOOKUP(A23,'ERPs by country'!$A$9:$F$165,4,FALSE)</f>
        <v>1.5210847291537115E-2</v>
      </c>
      <c r="F23" s="10">
        <f>VLOOKUP(A23,'ERPs by country'!$A$9:$F$165,5,FALSE)</f>
        <v>7.1039226108202347E-2</v>
      </c>
      <c r="G23" s="14">
        <f>VLOOKUP(A23,'ERPs by country'!$A$9:$F$165,6,FALSE)</f>
        <v>2.3339226108202347E-2</v>
      </c>
      <c r="H23" s="14">
        <f>VLOOKUP(A23,'Country Tax Rates'!$A$2:$B$159,2,FALSE)</f>
        <v>0.22</v>
      </c>
      <c r="I23" s="15" t="str">
        <f>VLOOKUP(A23,'Regional lookup table'!$A$2:$B$162,2,FALSE)</f>
        <v>Africa</v>
      </c>
    </row>
    <row r="24" spans="1:9" ht="16">
      <c r="A24" s="8" t="str">
        <f>'Sovereign Ratings (Moody''s,S&amp;P)'!A24</f>
        <v>Brazil</v>
      </c>
      <c r="B24" s="119">
        <f>VLOOKUP(A24,'Country GDP'!$A$2:$B$181,2,FALSE)</f>
        <v>2185821.6489438605</v>
      </c>
      <c r="C24" s="9" t="str">
        <f>VLOOKUP(A24,'Sovereign Ratings (Moody''s,S&amp;P)'!$A$2:$D$158,4,FALSE)</f>
        <v>Ba1</v>
      </c>
      <c r="D24" s="11">
        <f>VLOOKUP(A24,'10-year CDS Spreads'!$A$2:$C$158,3,FALSE)</f>
        <v>2.3900000000000001E-2</v>
      </c>
      <c r="E24" s="21">
        <f>VLOOKUP(A24,'ERPs by country'!$A$9:$F$165,4,FALSE)</f>
        <v>2.3822871125716225E-2</v>
      </c>
      <c r="F24" s="10">
        <f>VLOOKUP(A24,'ERPs by country'!$A$9:$F$165,5,FALSE)</f>
        <v>8.425334677240516E-2</v>
      </c>
      <c r="G24" s="14">
        <f>VLOOKUP(A24,'ERPs by country'!$A$9:$F$165,6,FALSE)</f>
        <v>3.6553346772405161E-2</v>
      </c>
      <c r="H24" s="14">
        <f>VLOOKUP(A24,'Country Tax Rates'!$A$2:$B$159,2,FALSE)</f>
        <v>0.34</v>
      </c>
      <c r="I24" s="15" t="str">
        <f>VLOOKUP(A24,'Regional lookup table'!$A$2:$B$162,2,FALSE)</f>
        <v>Central and South America</v>
      </c>
    </row>
    <row r="25" spans="1:9" ht="16">
      <c r="A25" s="8" t="str">
        <f>'Sovereign Ratings (Moody''s,S&amp;P)'!A25</f>
        <v>Bulgaria</v>
      </c>
      <c r="B25" s="119">
        <f>VLOOKUP(A25,'Country GDP'!$A$2:$B$181,2,FALSE)</f>
        <v>113343.3557799852</v>
      </c>
      <c r="C25" s="9" t="str">
        <f>VLOOKUP(A25,'Sovereign Ratings (Moody''s,S&amp;P)'!$A$2:$D$158,4,FALSE)</f>
        <v>Baa1</v>
      </c>
      <c r="D25" s="11">
        <f>VLOOKUP(A25,'10-year CDS Spreads'!$A$2:$C$158,3,FALSE)</f>
        <v>7.7999999999999996E-3</v>
      </c>
      <c r="E25" s="21">
        <f>VLOOKUP(A25,'ERPs by country'!$A$9:$F$165,4,FALSE)</f>
        <v>1.5210847291537115E-2</v>
      </c>
      <c r="F25" s="10">
        <f>VLOOKUP(A25,'ERPs by country'!$A$9:$F$165,5,FALSE)</f>
        <v>7.1039226108202347E-2</v>
      </c>
      <c r="G25" s="14">
        <f>VLOOKUP(A25,'ERPs by country'!$A$9:$F$165,6,FALSE)</f>
        <v>2.3339226108202347E-2</v>
      </c>
      <c r="H25" s="14">
        <f>VLOOKUP(A25,'Country Tax Rates'!$A$2:$B$159,2,FALSE)</f>
        <v>0.1</v>
      </c>
      <c r="I25" s="15" t="str">
        <f>VLOOKUP(A25,'Regional lookup table'!$A$2:$B$162,2,FALSE)</f>
        <v>Eastern Europe &amp; Russia</v>
      </c>
    </row>
    <row r="26" spans="1:9" ht="16">
      <c r="A26" s="8" t="str">
        <f>'Sovereign Ratings (Moody''s,S&amp;P)'!A26</f>
        <v>Burkina Faso</v>
      </c>
      <c r="B26" s="119">
        <f>VLOOKUP(A26,'Country GDP'!$A$2:$B$181,2,FALSE)</f>
        <v>23124.729853021799</v>
      </c>
      <c r="C26" s="9" t="str">
        <f>VLOOKUP(A26,'Sovereign Ratings (Moody''s,S&amp;P)'!$A$2:$D$158,4,FALSE)</f>
        <v>Caa1</v>
      </c>
      <c r="D26" s="11" t="str">
        <f>VLOOKUP(A26,'10-year CDS Spreads'!$A$2:$C$158,3,FALSE)</f>
        <v>NA</v>
      </c>
      <c r="E26" s="21">
        <f>VLOOKUP(A26,'ERPs by country'!$A$9:$F$165,4,FALSE)</f>
        <v>7.1356768911769716E-2</v>
      </c>
      <c r="F26" s="10">
        <f>VLOOKUP(A26,'ERPs by country'!$A$9:$F$165,5,FALSE)</f>
        <v>0.15718842836053751</v>
      </c>
      <c r="G26" s="14">
        <f>VLOOKUP(A26,'ERPs by country'!$A$9:$F$165,6,FALSE)</f>
        <v>0.10948842836053752</v>
      </c>
      <c r="H26" s="14">
        <f>VLOOKUP(A26,'Country Tax Rates'!$A$2:$B$159,2,FALSE)</f>
        <v>0.27500000000000002</v>
      </c>
      <c r="I26" s="15" t="str">
        <f>VLOOKUP(A26,'Regional lookup table'!$A$2:$B$162,2,FALSE)</f>
        <v>Africa</v>
      </c>
    </row>
    <row r="27" spans="1:9" ht="16">
      <c r="A27" s="8" t="str">
        <f>'Sovereign Ratings (Moody''s,S&amp;P)'!A27</f>
        <v>Cambodia</v>
      </c>
      <c r="B27" s="119">
        <f>VLOOKUP(A27,'Country GDP'!$A$2:$B$181,2,FALSE)</f>
        <v>46352.64703724056</v>
      </c>
      <c r="C27" s="9" t="str">
        <f>VLOOKUP(A27,'Sovereign Ratings (Moody''s,S&amp;P)'!$A$2:$D$158,4,FALSE)</f>
        <v>B2</v>
      </c>
      <c r="D27" s="11" t="str">
        <f>VLOOKUP(A27,'10-year CDS Spreads'!$A$2:$C$158,3,FALSE)</f>
        <v>NA</v>
      </c>
      <c r="E27" s="21">
        <f>VLOOKUP(A27,'ERPs by country'!$A$9:$F$165,4,FALSE)</f>
        <v>5.2343209797348314E-2</v>
      </c>
      <c r="F27" s="10">
        <f>VLOOKUP(A27,'ERPs by country'!$A$9:$F$165,5,FALSE)</f>
        <v>0.12801439572528456</v>
      </c>
      <c r="G27" s="14">
        <f>VLOOKUP(A27,'ERPs by country'!$A$9:$F$165,6,FALSE)</f>
        <v>8.0314395725284565E-2</v>
      </c>
      <c r="H27" s="14">
        <f>VLOOKUP(A27,'Country Tax Rates'!$A$2:$B$159,2,FALSE)</f>
        <v>0.2</v>
      </c>
      <c r="I27" s="15" t="str">
        <f>VLOOKUP(A27,'Regional lookup table'!$A$2:$B$162,2,FALSE)</f>
        <v>Asia</v>
      </c>
    </row>
    <row r="28" spans="1:9" ht="16">
      <c r="A28" s="8" t="str">
        <f>'Sovereign Ratings (Moody''s,S&amp;P)'!A28</f>
        <v>Cameroon</v>
      </c>
      <c r="B28" s="119">
        <f>VLOOKUP(A28,'Country GDP'!$A$2:$B$181,2,FALSE)</f>
        <v>53296.69432020565</v>
      </c>
      <c r="C28" s="9" t="str">
        <f>VLOOKUP(A28,'Sovereign Ratings (Moody''s,S&amp;P)'!$A$2:$D$158,4,FALSE)</f>
        <v>Caa1</v>
      </c>
      <c r="D28" s="11">
        <f>VLOOKUP(A28,'10-year CDS Spreads'!$A$2:$C$158,3,FALSE)</f>
        <v>7.3400000000000007E-2</v>
      </c>
      <c r="E28" s="21">
        <f>VLOOKUP(A28,'ERPs by country'!$A$9:$F$165,4,FALSE)</f>
        <v>7.1356768911769716E-2</v>
      </c>
      <c r="F28" s="10">
        <f>VLOOKUP(A28,'ERPs by country'!$A$9:$F$165,5,FALSE)</f>
        <v>0.15718842836053751</v>
      </c>
      <c r="G28" s="14">
        <f>VLOOKUP(A28,'ERPs by country'!$A$9:$F$165,6,FALSE)</f>
        <v>0.10948842836053752</v>
      </c>
      <c r="H28" s="14">
        <f>VLOOKUP(A28,'Country Tax Rates'!$A$2:$B$159,2,FALSE)</f>
        <v>0.33</v>
      </c>
      <c r="I28" s="15" t="str">
        <f>VLOOKUP(A28,'Regional lookup table'!$A$2:$B$162,2,FALSE)</f>
        <v>Africa</v>
      </c>
    </row>
    <row r="29" spans="1:9" ht="16">
      <c r="A29" s="8" t="str">
        <f>'Sovereign Ratings (Moody''s,S&amp;P)'!A29</f>
        <v>Canada</v>
      </c>
      <c r="B29" s="119">
        <f>VLOOKUP(A29,'Country GDP'!$A$2:$B$181,2,FALSE)</f>
        <v>2243636.8266337616</v>
      </c>
      <c r="C29" s="9" t="str">
        <f>VLOOKUP(A29,'Sovereign Ratings (Moody''s,S&amp;P)'!$A$2:$D$158,4,FALSE)</f>
        <v>Aaa</v>
      </c>
      <c r="D29" s="11">
        <f>VLOOKUP(A29,'10-year CDS Spreads'!$A$2:$C$158,3,FALSE)</f>
        <v>3.0000000000000001E-3</v>
      </c>
      <c r="E29" s="21">
        <f>VLOOKUP(A29,'ERPs by country'!$A$9:$F$165,4,FALSE)</f>
        <v>0</v>
      </c>
      <c r="F29" s="10">
        <f>VLOOKUP(A29,'ERPs by country'!$A$9:$F$165,5,FALSE)</f>
        <v>4.7699999999999999E-2</v>
      </c>
      <c r="G29" s="14">
        <f>VLOOKUP(A29,'ERPs by country'!$A$9:$F$165,6,FALSE)</f>
        <v>0</v>
      </c>
      <c r="H29" s="14">
        <f>VLOOKUP(A29,'Country Tax Rates'!$A$2:$B$159,2,FALSE)</f>
        <v>0.26140000000000002</v>
      </c>
      <c r="I29" s="15" t="str">
        <f>VLOOKUP(A29,'Regional lookup table'!$A$2:$B$162,2,FALSE)</f>
        <v>North America</v>
      </c>
    </row>
    <row r="30" spans="1:9" ht="16">
      <c r="A30" s="8" t="str">
        <f>'Sovereign Ratings (Moody''s,S&amp;P)'!A30</f>
        <v>Cape Verde</v>
      </c>
      <c r="B30" s="119">
        <f>VLOOKUP(A30,'Country GDP'!$A$2:$B$181,2,FALSE)</f>
        <v>2725.4141507273494</v>
      </c>
      <c r="C30" s="9" t="str">
        <f>VLOOKUP(A30,'Sovereign Ratings (Moody''s,S&amp;P)'!$A$2:$D$158,4,FALSE)</f>
        <v>B2</v>
      </c>
      <c r="D30" s="11" t="str">
        <f>VLOOKUP(A30,'10-year CDS Spreads'!$A$2:$C$158,3,FALSE)</f>
        <v>NA</v>
      </c>
      <c r="E30" s="21">
        <f>VLOOKUP(A30,'ERPs by country'!$A$9:$F$165,4,FALSE)</f>
        <v>5.2343209797348314E-2</v>
      </c>
      <c r="F30" s="10">
        <f>VLOOKUP(A30,'ERPs by country'!$A$9:$F$165,5,FALSE)</f>
        <v>0.12801439572528456</v>
      </c>
      <c r="G30" s="14">
        <f>VLOOKUP(A30,'ERPs by country'!$A$9:$F$165,6,FALSE)</f>
        <v>8.0314395725284565E-2</v>
      </c>
      <c r="H30" s="14">
        <f>VLOOKUP(A30,'Country Tax Rates'!$A$2:$B$159,2,FALSE)</f>
        <v>0.26860000000000001</v>
      </c>
      <c r="I30" s="15" t="str">
        <f>VLOOKUP(A30,'Regional lookup table'!$A$2:$B$162,2,FALSE)</f>
        <v>Africa</v>
      </c>
    </row>
    <row r="31" spans="1:9" ht="16">
      <c r="A31" s="8" t="str">
        <f>'Sovereign Ratings (Moody''s,S&amp;P)'!A31</f>
        <v>Cayman Islands</v>
      </c>
      <c r="B31" s="119">
        <f>VLOOKUP(A31,'Country GDP'!$A$2:$B$181,2,FALSE)</f>
        <v>7241.2442694597212</v>
      </c>
      <c r="C31" s="9" t="str">
        <f>VLOOKUP(A31,'Sovereign Ratings (Moody''s,S&amp;P)'!$A$2:$D$158,4,FALSE)</f>
        <v>Aa3</v>
      </c>
      <c r="D31" s="11" t="str">
        <f>VLOOKUP(A31,'10-year CDS Spreads'!$A$2:$C$158,3,FALSE)</f>
        <v>NA</v>
      </c>
      <c r="E31" s="21">
        <f>VLOOKUP(A31,'ERPs by country'!$A$9:$F$165,4,FALSE)</f>
        <v>5.7040677343264193E-3</v>
      </c>
      <c r="F31" s="10">
        <f>VLOOKUP(A31,'ERPs by country'!$A$9:$F$165,5,FALSE)</f>
        <v>5.6452209790575886E-2</v>
      </c>
      <c r="G31" s="14">
        <f>VLOOKUP(A31,'ERPs by country'!$A$9:$F$165,6,FALSE)</f>
        <v>8.7522097905758829E-3</v>
      </c>
      <c r="H31" s="14">
        <f>VLOOKUP(A31,'Country Tax Rates'!$A$2:$B$159,2,FALSE)</f>
        <v>0</v>
      </c>
      <c r="I31" s="15" t="str">
        <f>VLOOKUP(A31,'Regional lookup table'!$A$2:$B$162,2,FALSE)</f>
        <v>Caribbean</v>
      </c>
    </row>
    <row r="32" spans="1:9" ht="16">
      <c r="A32" s="8" t="str">
        <f>'Sovereign Ratings (Moody''s,S&amp;P)'!A32</f>
        <v>Chile</v>
      </c>
      <c r="B32" s="119">
        <f>VLOOKUP(A32,'Country GDP'!$A$2:$B$181,2,FALSE)</f>
        <v>330267.13737159228</v>
      </c>
      <c r="C32" s="9" t="str">
        <f>VLOOKUP(A32,'Sovereign Ratings (Moody''s,S&amp;P)'!$A$2:$D$158,4,FALSE)</f>
        <v>A2</v>
      </c>
      <c r="D32" s="11">
        <f>VLOOKUP(A32,'10-year CDS Spreads'!$A$2:$C$158,3,FALSE)</f>
        <v>1.06E-2</v>
      </c>
      <c r="E32" s="21">
        <f>VLOOKUP(A32,'ERPs by country'!$A$9:$F$165,4,FALSE)</f>
        <v>8.0528015072843552E-3</v>
      </c>
      <c r="F32" s="10">
        <f>VLOOKUP(A32,'ERPs by country'!$A$9:$F$165,5,FALSE)</f>
        <v>6.0056060880813007E-2</v>
      </c>
      <c r="G32" s="14">
        <f>VLOOKUP(A32,'ERPs by country'!$A$9:$F$165,6,FALSE)</f>
        <v>1.2356060880813008E-2</v>
      </c>
      <c r="H32" s="14">
        <f>VLOOKUP(A32,'Country Tax Rates'!$A$2:$B$159,2,FALSE)</f>
        <v>0.27</v>
      </c>
      <c r="I32" s="15" t="str">
        <f>VLOOKUP(A32,'Regional lookup table'!$A$2:$B$162,2,FALSE)</f>
        <v>Central and South America</v>
      </c>
    </row>
    <row r="33" spans="1:9" ht="16">
      <c r="A33" s="8" t="str">
        <f>'Sovereign Ratings (Moody''s,S&amp;P)'!A33</f>
        <v>China</v>
      </c>
      <c r="B33" s="119">
        <f>VLOOKUP(A33,'Country GDP'!$A$2:$B$181,2,FALSE)</f>
        <v>18743803.170827165</v>
      </c>
      <c r="C33" s="9" t="str">
        <f>VLOOKUP(A33,'Sovereign Ratings (Moody''s,S&amp;P)'!$A$2:$D$158,4,FALSE)</f>
        <v>A1</v>
      </c>
      <c r="D33" s="11">
        <f>VLOOKUP(A33,'10-year CDS Spreads'!$A$2:$C$158,3,FALSE)</f>
        <v>7.7000000000000002E-3</v>
      </c>
      <c r="E33" s="21">
        <f>VLOOKUP(A33,'ERPs by country'!$A$9:$F$165,4,FALSE)</f>
        <v>6.710667922736965E-3</v>
      </c>
      <c r="F33" s="10">
        <f>VLOOKUP(A33,'ERPs by country'!$A$9:$F$165,5,FALSE)</f>
        <v>5.7996717400677508E-2</v>
      </c>
      <c r="G33" s="14">
        <f>VLOOKUP(A33,'ERPs by country'!$A$9:$F$165,6,FALSE)</f>
        <v>1.0296717400677511E-2</v>
      </c>
      <c r="H33" s="14">
        <f>VLOOKUP(A33,'Country Tax Rates'!$A$2:$B$159,2,FALSE)</f>
        <v>0.25</v>
      </c>
      <c r="I33" s="15" t="str">
        <f>VLOOKUP(A33,'Regional lookup table'!$A$2:$B$162,2,FALSE)</f>
        <v>Asia</v>
      </c>
    </row>
    <row r="34" spans="1:9" ht="16">
      <c r="A34" s="8" t="str">
        <f>'Sovereign Ratings (Moody''s,S&amp;P)'!A34</f>
        <v>Colombia</v>
      </c>
      <c r="B34" s="119">
        <f>VLOOKUP(A34,'Country GDP'!$A$2:$B$181,2,FALSE)</f>
        <v>418818.15487927111</v>
      </c>
      <c r="C34" s="9" t="str">
        <f>VLOOKUP(A34,'Sovereign Ratings (Moody''s,S&amp;P)'!$A$2:$D$158,4,FALSE)</f>
        <v>Baa3</v>
      </c>
      <c r="D34" s="11">
        <f>VLOOKUP(A34,'10-year CDS Spreads'!$A$2:$C$158,3,FALSE)</f>
        <v>3.4299999999999997E-2</v>
      </c>
      <c r="E34" s="21">
        <f>VLOOKUP(A34,'ERPs by country'!$A$9:$F$165,4,FALSE)</f>
        <v>2.091491502586354E-2</v>
      </c>
      <c r="F34" s="10">
        <f>VLOOKUP(A34,'ERPs by country'!$A$9:$F$165,5,FALSE)</f>
        <v>7.979143589877824E-2</v>
      </c>
      <c r="G34" s="14">
        <f>VLOOKUP(A34,'ERPs by country'!$A$9:$F$165,6,FALSE)</f>
        <v>3.2091435898778241E-2</v>
      </c>
      <c r="H34" s="14">
        <f>VLOOKUP(A34,'Country Tax Rates'!$A$2:$B$159,2,FALSE)</f>
        <v>0.35</v>
      </c>
      <c r="I34" s="15" t="str">
        <f>VLOOKUP(A34,'Regional lookup table'!$A$2:$B$162,2,FALSE)</f>
        <v>Central and South America</v>
      </c>
    </row>
    <row r="35" spans="1:9" ht="16">
      <c r="A35" s="8" t="str">
        <f>'Sovereign Ratings (Moody''s,S&amp;P)'!A35</f>
        <v>Congo (Democratic Republic of)</v>
      </c>
      <c r="B35" s="119">
        <f>VLOOKUP(A35,'Country GDP'!$A$2:$B$181,2,FALSE)</f>
        <v>70962.185790709351</v>
      </c>
      <c r="C35" s="9" t="str">
        <f>VLOOKUP(A35,'Sovereign Ratings (Moody''s,S&amp;P)'!$A$2:$D$158,4,FALSE)</f>
        <v>B3</v>
      </c>
      <c r="D35" s="11" t="str">
        <f>VLOOKUP(A35,'10-year CDS Spreads'!$A$2:$C$158,3,FALSE)</f>
        <v>NA</v>
      </c>
      <c r="E35" s="21">
        <f>VLOOKUP(A35,'ERPs by country'!$A$9:$F$165,4,FALSE)</f>
        <v>6.1849989354559008E-2</v>
      </c>
      <c r="F35" s="10">
        <f>VLOOKUP(A35,'ERPs by country'!$A$9:$F$165,5,FALSE)</f>
        <v>0.14260141204291102</v>
      </c>
      <c r="G35" s="14">
        <f>VLOOKUP(A35,'ERPs by country'!$A$9:$F$165,6,FALSE)</f>
        <v>9.4901412042911026E-2</v>
      </c>
      <c r="H35" s="14">
        <f>VLOOKUP(A35,'Country Tax Rates'!$A$2:$B$159,2,FALSE)</f>
        <v>0.3</v>
      </c>
      <c r="I35" s="15" t="str">
        <f>VLOOKUP(A35,'Regional lookup table'!$A$2:$B$162,2,FALSE)</f>
        <v>Africa</v>
      </c>
    </row>
    <row r="36" spans="1:9" ht="16">
      <c r="A36" s="8" t="str">
        <f>'Sovereign Ratings (Moody''s,S&amp;P)'!A36</f>
        <v>Congo (Republic of)</v>
      </c>
      <c r="B36" s="119">
        <f>VLOOKUP(A36,'Country GDP'!$A$2:$B$181,2,FALSE)</f>
        <v>15719.986076646381</v>
      </c>
      <c r="C36" s="9" t="str">
        <f>VLOOKUP(A36,'Sovereign Ratings (Moody''s,S&amp;P)'!$A$2:$D$158,4,FALSE)</f>
        <v>Caa2</v>
      </c>
      <c r="D36" s="11" t="str">
        <f>VLOOKUP(A36,'10-year CDS Spreads'!$A$2:$C$158,3,FALSE)</f>
        <v>NA</v>
      </c>
      <c r="E36" s="21">
        <f>VLOOKUP(A36,'ERPs by country'!$A$9:$F$165,4,FALSE)</f>
        <v>8.5672860480275226E-2</v>
      </c>
      <c r="F36" s="10">
        <f>VLOOKUP(A36,'ERPs by country'!$A$9:$F$165,5,FALSE)</f>
        <v>0.17915475881531617</v>
      </c>
      <c r="G36" s="14">
        <f>VLOOKUP(A36,'ERPs by country'!$A$9:$F$165,6,FALSE)</f>
        <v>0.13145475881531618</v>
      </c>
      <c r="H36" s="14">
        <f>VLOOKUP(A36,'Country Tax Rates'!$A$2:$B$159,2,FALSE)</f>
        <v>0.26860000000000001</v>
      </c>
      <c r="I36" s="15" t="str">
        <f>VLOOKUP(A36,'Regional lookup table'!$A$2:$B$162,2,FALSE)</f>
        <v>Africa</v>
      </c>
    </row>
    <row r="37" spans="1:9" ht="16">
      <c r="A37" s="8" t="str">
        <f>'Sovereign Ratings (Moody''s,S&amp;P)'!A37</f>
        <v>Cook Islands</v>
      </c>
      <c r="B37" s="119">
        <f>VLOOKUP(A37,'Country GDP'!$A$2:$B$181,2,FALSE)</f>
        <v>1414</v>
      </c>
      <c r="C37" s="9" t="str">
        <f>VLOOKUP(A37,'Sovereign Ratings (Moody''s,S&amp;P)'!$A$2:$D$158,4,FALSE)</f>
        <v>B1</v>
      </c>
      <c r="D37" s="11" t="str">
        <f>VLOOKUP(A37,'10-year CDS Spreads'!$A$2:$C$158,3,FALSE)</f>
        <v>NA</v>
      </c>
      <c r="E37" s="21">
        <f>VLOOKUP(A37,'ERPs by country'!$A$9:$F$165,4,FALSE)</f>
        <v>4.2836430240137613E-2</v>
      </c>
      <c r="F37" s="10">
        <f>VLOOKUP(A37,'ERPs by country'!$A$9:$F$165,5,FALSE)</f>
        <v>0.1134273794076581</v>
      </c>
      <c r="G37" s="14">
        <f>VLOOKUP(A37,'ERPs by country'!$A$9:$F$165,6,FALSE)</f>
        <v>6.572737940765809E-2</v>
      </c>
      <c r="H37" s="14">
        <f>VLOOKUP(A37,'Country Tax Rates'!$A$2:$B$159,2,FALSE)</f>
        <v>0.2</v>
      </c>
      <c r="I37" s="15" t="str">
        <f>VLOOKUP(A37,'Regional lookup table'!$A$2:$B$162,2,FALSE)</f>
        <v>Australia &amp; New Zealand</v>
      </c>
    </row>
    <row r="38" spans="1:9" ht="16">
      <c r="A38" s="8" t="str">
        <f>'Sovereign Ratings (Moody''s,S&amp;P)'!A38</f>
        <v>Costa Rica</v>
      </c>
      <c r="B38" s="119">
        <f>VLOOKUP(A38,'Country GDP'!$A$2:$B$181,2,FALSE)</f>
        <v>95350.423176596218</v>
      </c>
      <c r="C38" s="9" t="str">
        <f>VLOOKUP(A38,'Sovereign Ratings (Moody''s,S&amp;P)'!$A$2:$D$158,4,FALSE)</f>
        <v>Ba2</v>
      </c>
      <c r="D38" s="11">
        <f>VLOOKUP(A38,'10-year CDS Spreads'!$A$2:$C$158,3,FALSE)</f>
        <v>2.24E-2</v>
      </c>
      <c r="E38" s="21">
        <f>VLOOKUP(A38,'ERPs by country'!$A$9:$F$165,4,FALSE)</f>
        <v>2.863218313701105E-2</v>
      </c>
      <c r="F38" s="10">
        <f>VLOOKUP(A38,'ERPs by country'!$A$9:$F$165,5,FALSE)</f>
        <v>9.1632660909557379E-2</v>
      </c>
      <c r="G38" s="14">
        <f>VLOOKUP(A38,'ERPs by country'!$A$9:$F$165,6,FALSE)</f>
        <v>4.3932660909557379E-2</v>
      </c>
      <c r="H38" s="14">
        <f>VLOOKUP(A38,'Country Tax Rates'!$A$2:$B$159,2,FALSE)</f>
        <v>0.3</v>
      </c>
      <c r="I38" s="15" t="str">
        <f>VLOOKUP(A38,'Regional lookup table'!$A$2:$B$162,2,FALSE)</f>
        <v>Central and South America</v>
      </c>
    </row>
    <row r="39" spans="1:9" ht="16">
      <c r="A39" s="8" t="str">
        <f>'Sovereign Ratings (Moody''s,S&amp;P)'!A39</f>
        <v>Côte d'Ivoire</v>
      </c>
      <c r="B39" s="119">
        <f>VLOOKUP(A39,'Country GDP'!$A$2:$B$181,2,FALSE)</f>
        <v>87113.179149284013</v>
      </c>
      <c r="C39" s="9" t="str">
        <f>VLOOKUP(A39,'Sovereign Ratings (Moody''s,S&amp;P)'!$A$2:$D$158,4,FALSE)</f>
        <v>Ba2</v>
      </c>
      <c r="D39" s="11" t="str">
        <f>VLOOKUP(A39,'10-year CDS Spreads'!$A$2:$C$158,3,FALSE)</f>
        <v>NA</v>
      </c>
      <c r="E39" s="21">
        <f>VLOOKUP(A39,'ERPs by country'!$A$9:$F$165,4,FALSE)</f>
        <v>2.863218313701105E-2</v>
      </c>
      <c r="F39" s="10">
        <f>VLOOKUP(A39,'ERPs by country'!$A$9:$F$165,5,FALSE)</f>
        <v>9.1632660909557379E-2</v>
      </c>
      <c r="G39" s="14">
        <f>VLOOKUP(A39,'ERPs by country'!$A$9:$F$165,6,FALSE)</f>
        <v>4.3932660909557379E-2</v>
      </c>
      <c r="H39" s="14">
        <f>VLOOKUP(A39,'Country Tax Rates'!$A$2:$B$159,2,FALSE)</f>
        <v>0.25</v>
      </c>
      <c r="I39" s="15" t="str">
        <f>VLOOKUP(A39,'Regional lookup table'!$A$2:$B$162,2,FALSE)</f>
        <v>Africa</v>
      </c>
    </row>
    <row r="40" spans="1:9" ht="16">
      <c r="A40" s="8" t="str">
        <f>'Sovereign Ratings (Moody''s,S&amp;P)'!A40</f>
        <v>Croatia</v>
      </c>
      <c r="B40" s="119">
        <f>VLOOKUP(A40,'Country GDP'!$A$2:$B$181,2,FALSE)</f>
        <v>92983.810328908847</v>
      </c>
      <c r="C40" s="9" t="str">
        <f>VLOOKUP(A40,'Sovereign Ratings (Moody''s,S&amp;P)'!$A$2:$D$158,4,FALSE)</f>
        <v>A3</v>
      </c>
      <c r="D40" s="11">
        <f>VLOOKUP(A40,'10-year CDS Spreads'!$A$2:$C$158,3,FALSE)</f>
        <v>9.4999999999999998E-3</v>
      </c>
      <c r="E40" s="21">
        <f>VLOOKUP(A40,'ERPs by country'!$A$9:$F$165,4,FALSE)</f>
        <v>1.1408135468652839E-2</v>
      </c>
      <c r="F40" s="10">
        <f>VLOOKUP(A40,'ERPs by country'!$A$9:$F$165,5,FALSE)</f>
        <v>6.5204419581151765E-2</v>
      </c>
      <c r="G40" s="14">
        <f>VLOOKUP(A40,'ERPs by country'!$A$9:$F$165,6,FALSE)</f>
        <v>1.7504419581151766E-2</v>
      </c>
      <c r="H40" s="14">
        <f>VLOOKUP(A40,'Country Tax Rates'!$A$2:$B$159,2,FALSE)</f>
        <v>0.18</v>
      </c>
      <c r="I40" s="15" t="str">
        <f>VLOOKUP(A40,'Regional lookup table'!$A$2:$B$162,2,FALSE)</f>
        <v>Eastern Europe &amp; Russia</v>
      </c>
    </row>
    <row r="41" spans="1:9" ht="16">
      <c r="A41" s="8" t="str">
        <f>'Sovereign Ratings (Moody''s,S&amp;P)'!A41</f>
        <v>Cuba</v>
      </c>
      <c r="B41" s="119">
        <f>VLOOKUP(A41,'Country GDP'!$A$2:$B$181,2,FALSE)</f>
        <v>107352</v>
      </c>
      <c r="C41" s="9" t="str">
        <f>VLOOKUP(A41,'Sovereign Ratings (Moody''s,S&amp;P)'!$A$2:$D$158,4,FALSE)</f>
        <v>Ca</v>
      </c>
      <c r="D41" s="11" t="str">
        <f>VLOOKUP(A41,'10-year CDS Spreads'!$A$2:$C$158,3,FALSE)</f>
        <v>NA</v>
      </c>
      <c r="E41" s="21">
        <f>VLOOKUP(A41,'ERPs by country'!$A$9:$F$165,4,FALSE)</f>
        <v>0.11419319915190733</v>
      </c>
      <c r="F41" s="10">
        <f>VLOOKUP(A41,'ERPs by country'!$A$9:$F$165,5,FALSE)</f>
        <v>0.22291580776819558</v>
      </c>
      <c r="G41" s="14">
        <f>VLOOKUP(A41,'ERPs by country'!$A$9:$F$165,6,FALSE)</f>
        <v>0.17521580776819559</v>
      </c>
      <c r="H41" s="14">
        <f>VLOOKUP(A41,'Country Tax Rates'!$A$2:$B$159,2,FALSE)</f>
        <v>0.35</v>
      </c>
      <c r="I41" s="15" t="str">
        <f>VLOOKUP(A41,'Regional lookup table'!$A$2:$B$162,2,FALSE)</f>
        <v>Caribbean</v>
      </c>
    </row>
    <row r="42" spans="1:9" ht="16">
      <c r="A42" s="8" t="str">
        <f>'Sovereign Ratings (Moody''s,S&amp;P)'!A42</f>
        <v>Curacao</v>
      </c>
      <c r="B42" s="119">
        <f>VLOOKUP(A42,'Country GDP'!$A$2:$B$181,2,FALSE)</f>
        <v>3561.1781962071341</v>
      </c>
      <c r="C42" s="9" t="str">
        <f>VLOOKUP(A42,'Sovereign Ratings (Moody''s,S&amp;P)'!$A$2:$D$158,4,FALSE)</f>
        <v>Baa3</v>
      </c>
      <c r="D42" s="11" t="str">
        <f>VLOOKUP(A42,'10-year CDS Spreads'!$A$2:$C$158,3,FALSE)</f>
        <v>NA</v>
      </c>
      <c r="E42" s="21">
        <f>VLOOKUP(A42,'ERPs by country'!$A$9:$F$165,4,FALSE)</f>
        <v>2.091491502586354E-2</v>
      </c>
      <c r="F42" s="10">
        <f>VLOOKUP(A42,'ERPs by country'!$A$9:$F$165,5,FALSE)</f>
        <v>7.979143589877824E-2</v>
      </c>
      <c r="G42" s="14">
        <f>VLOOKUP(A42,'ERPs by country'!$A$9:$F$165,6,FALSE)</f>
        <v>3.2091435898778241E-2</v>
      </c>
      <c r="H42" s="14">
        <f>VLOOKUP(A42,'Country Tax Rates'!$A$2:$B$159,2,FALSE)</f>
        <v>0.22</v>
      </c>
      <c r="I42" s="15" t="str">
        <f>VLOOKUP(A42,'Regional lookup table'!$A$2:$B$162,2,FALSE)</f>
        <v>Caribbean</v>
      </c>
    </row>
    <row r="43" spans="1:9" ht="16">
      <c r="A43" s="8" t="str">
        <f>'Sovereign Ratings (Moody''s,S&amp;P)'!A43</f>
        <v>Cyprus</v>
      </c>
      <c r="B43" s="119">
        <f>VLOOKUP(A43,'Country GDP'!$A$2:$B$181,2,FALSE)</f>
        <v>37634.533331890161</v>
      </c>
      <c r="C43" s="9" t="str">
        <f>VLOOKUP(A43,'Sovereign Ratings (Moody''s,S&amp;P)'!$A$2:$D$158,4,FALSE)</f>
        <v>A3</v>
      </c>
      <c r="D43" s="11">
        <f>VLOOKUP(A43,'10-year CDS Spreads'!$A$2:$C$158,3,FALSE)</f>
        <v>6.7000000000000002E-3</v>
      </c>
      <c r="E43" s="21">
        <f>VLOOKUP(A43,'ERPs by country'!$A$9:$F$165,4,FALSE)</f>
        <v>1.1408135468652839E-2</v>
      </c>
      <c r="F43" s="10">
        <f>VLOOKUP(A43,'ERPs by country'!$A$9:$F$165,5,FALSE)</f>
        <v>6.5204419581151765E-2</v>
      </c>
      <c r="G43" s="14">
        <f>VLOOKUP(A43,'ERPs by country'!$A$9:$F$165,6,FALSE)</f>
        <v>1.7504419581151766E-2</v>
      </c>
      <c r="H43" s="14">
        <f>VLOOKUP(A43,'Country Tax Rates'!$A$2:$B$159,2,FALSE)</f>
        <v>0.125</v>
      </c>
      <c r="I43" s="15" t="str">
        <f>VLOOKUP(A43,'Regional lookup table'!$A$2:$B$162,2,FALSE)</f>
        <v>Western Europe</v>
      </c>
    </row>
    <row r="44" spans="1:9" ht="16">
      <c r="A44" s="8" t="str">
        <f>'Sovereign Ratings (Moody''s,S&amp;P)'!A44</f>
        <v>Czech Republic</v>
      </c>
      <c r="B44" s="119">
        <f>VLOOKUP(A44,'Country GDP'!$A$2:$B$181,2,FALSE)</f>
        <v>347034.06292847905</v>
      </c>
      <c r="C44" s="9" t="str">
        <f>VLOOKUP(A44,'Sovereign Ratings (Moody''s,S&amp;P)'!$A$2:$D$158,4,FALSE)</f>
        <v>Aa3</v>
      </c>
      <c r="D44" s="11">
        <f>VLOOKUP(A44,'10-year CDS Spreads'!$A$2:$C$158,3,FALSE)</f>
        <v>5.1000000000000004E-3</v>
      </c>
      <c r="E44" s="21">
        <f>VLOOKUP(A44,'ERPs by country'!$A$9:$F$165,4,FALSE)</f>
        <v>5.7040677343264193E-3</v>
      </c>
      <c r="F44" s="10">
        <f>VLOOKUP(A44,'ERPs by country'!$A$9:$F$165,5,FALSE)</f>
        <v>5.6452209790575886E-2</v>
      </c>
      <c r="G44" s="14">
        <f>VLOOKUP(A44,'ERPs by country'!$A$9:$F$165,6,FALSE)</f>
        <v>8.7522097905758829E-3</v>
      </c>
      <c r="H44" s="14">
        <f>VLOOKUP(A44,'Country Tax Rates'!$A$2:$B$159,2,FALSE)</f>
        <v>0.21</v>
      </c>
      <c r="I44" s="15" t="str">
        <f>VLOOKUP(A44,'Regional lookup table'!$A$2:$B$162,2,FALSE)</f>
        <v>Eastern Europe &amp; Russia</v>
      </c>
    </row>
    <row r="45" spans="1:9" ht="16">
      <c r="A45" s="8" t="str">
        <f>'Sovereign Ratings (Moody''s,S&amp;P)'!A45</f>
        <v>Denmark</v>
      </c>
      <c r="B45" s="119">
        <f>VLOOKUP(A45,'Country GDP'!$A$2:$B$181,2,FALSE)</f>
        <v>424524.72203704697</v>
      </c>
      <c r="C45" s="9" t="str">
        <f>VLOOKUP(A45,'Sovereign Ratings (Moody''s,S&amp;P)'!$A$2:$D$158,4,FALSE)</f>
        <v>Aaa</v>
      </c>
      <c r="D45" s="11">
        <f>VLOOKUP(A45,'10-year CDS Spreads'!$A$2:$C$158,3,FALSE)</f>
        <v>2E-3</v>
      </c>
      <c r="E45" s="21">
        <f>VLOOKUP(A45,'ERPs by country'!$A$9:$F$165,4,FALSE)</f>
        <v>0</v>
      </c>
      <c r="F45" s="10">
        <f>VLOOKUP(A45,'ERPs by country'!$A$9:$F$165,5,FALSE)</f>
        <v>4.7699999999999999E-2</v>
      </c>
      <c r="G45" s="14">
        <f>VLOOKUP(A45,'ERPs by country'!$A$9:$F$165,6,FALSE)</f>
        <v>0</v>
      </c>
      <c r="H45" s="14">
        <f>VLOOKUP(A45,'Country Tax Rates'!$A$2:$B$159,2,FALSE)</f>
        <v>0.22</v>
      </c>
      <c r="I45" s="15" t="str">
        <f>VLOOKUP(A45,'Regional lookup table'!$A$2:$B$162,2,FALSE)</f>
        <v>Western Europe</v>
      </c>
    </row>
    <row r="46" spans="1:9" ht="16">
      <c r="A46" s="8" t="str">
        <f>'Sovereign Ratings (Moody''s,S&amp;P)'!A46</f>
        <v>Dominican Republic</v>
      </c>
      <c r="B46" s="119">
        <f>VLOOKUP(A46,'Country GDP'!$A$2:$B$181,2,FALSE)</f>
        <v>124282.24563856845</v>
      </c>
      <c r="C46" s="9" t="str">
        <f>VLOOKUP(A46,'Sovereign Ratings (Moody''s,S&amp;P)'!$A$2:$D$158,4,FALSE)</f>
        <v>Ba2</v>
      </c>
      <c r="D46" s="11" t="str">
        <f>VLOOKUP(A46,'10-year CDS Spreads'!$A$2:$C$158,3,FALSE)</f>
        <v>NA</v>
      </c>
      <c r="E46" s="21">
        <f>VLOOKUP(A46,'ERPs by country'!$A$9:$F$165,4,FALSE)</f>
        <v>2.863218313701105E-2</v>
      </c>
      <c r="F46" s="10">
        <f>VLOOKUP(A46,'ERPs by country'!$A$9:$F$165,5,FALSE)</f>
        <v>9.1632660909557379E-2</v>
      </c>
      <c r="G46" s="14">
        <f>VLOOKUP(A46,'ERPs by country'!$A$9:$F$165,6,FALSE)</f>
        <v>4.3932660909557379E-2</v>
      </c>
      <c r="H46" s="14">
        <f>VLOOKUP(A46,'Country Tax Rates'!$A$2:$B$159,2,FALSE)</f>
        <v>0.27</v>
      </c>
      <c r="I46" s="15" t="str">
        <f>VLOOKUP(A46,'Regional lookup table'!$A$2:$B$162,2,FALSE)</f>
        <v>Caribbean</v>
      </c>
    </row>
    <row r="47" spans="1:9" ht="16">
      <c r="A47" s="8" t="str">
        <f>'Sovereign Ratings (Moody''s,S&amp;P)'!A47</f>
        <v>Ecuador</v>
      </c>
      <c r="B47" s="119">
        <f>VLOOKUP(A47,'Country GDP'!$A$2:$B$181,2,FALSE)</f>
        <v>124676.0747</v>
      </c>
      <c r="C47" s="9" t="str">
        <f>VLOOKUP(A47,'Sovereign Ratings (Moody''s,S&amp;P)'!$A$2:$D$158,4,FALSE)</f>
        <v>Caa3</v>
      </c>
      <c r="D47" s="11">
        <f>VLOOKUP(A47,'10-year CDS Spreads'!$A$2:$C$158,3,FALSE)</f>
        <v>5.8500000000000003E-2</v>
      </c>
      <c r="E47" s="21">
        <f>VLOOKUP(A47,'ERPs by country'!$A$9:$F$165,4,FALSE)</f>
        <v>9.5179640037485941E-2</v>
      </c>
      <c r="F47" s="10">
        <f>VLOOKUP(A47,'ERPs by country'!$A$9:$F$165,5,FALSE)</f>
        <v>0.19374177513294266</v>
      </c>
      <c r="G47" s="14">
        <f>VLOOKUP(A47,'ERPs by country'!$A$9:$F$165,6,FALSE)</f>
        <v>0.14604177513294267</v>
      </c>
      <c r="H47" s="14">
        <f>VLOOKUP(A47,'Country Tax Rates'!$A$2:$B$159,2,FALSE)</f>
        <v>0.25</v>
      </c>
      <c r="I47" s="15" t="str">
        <f>VLOOKUP(A47,'Regional lookup table'!$A$2:$B$162,2,FALSE)</f>
        <v>Central and South America</v>
      </c>
    </row>
    <row r="48" spans="1:9" ht="16">
      <c r="A48" s="8" t="str">
        <f>'Sovereign Ratings (Moody''s,S&amp;P)'!A48</f>
        <v>Egypt</v>
      </c>
      <c r="B48" s="119">
        <f>VLOOKUP(A48,'Country GDP'!$A$2:$B$181,2,FALSE)</f>
        <v>389059.91100356571</v>
      </c>
      <c r="C48" s="9" t="str">
        <f>VLOOKUP(A48,'Sovereign Ratings (Moody''s,S&amp;P)'!$A$2:$D$158,4,FALSE)</f>
        <v>Caa1</v>
      </c>
      <c r="D48" s="11">
        <f>VLOOKUP(A48,'10-year CDS Spreads'!$A$2:$C$158,3,FALSE)</f>
        <v>5.1499999999999997E-2</v>
      </c>
      <c r="E48" s="21">
        <f>VLOOKUP(A48,'ERPs by country'!$A$9:$F$165,4,FALSE)</f>
        <v>7.1356768911769716E-2</v>
      </c>
      <c r="F48" s="10">
        <f>VLOOKUP(A48,'ERPs by country'!$A$9:$F$165,5,FALSE)</f>
        <v>0.15718842836053751</v>
      </c>
      <c r="G48" s="14">
        <f>VLOOKUP(A48,'ERPs by country'!$A$9:$F$165,6,FALSE)</f>
        <v>0.10948842836053752</v>
      </c>
      <c r="H48" s="14">
        <f>VLOOKUP(A48,'Country Tax Rates'!$A$2:$B$159,2,FALSE)</f>
        <v>0.22500000000000001</v>
      </c>
      <c r="I48" s="15" t="str">
        <f>VLOOKUP(A48,'Regional lookup table'!$A$2:$B$162,2,FALSE)</f>
        <v>Africa</v>
      </c>
    </row>
    <row r="49" spans="1:9" ht="16">
      <c r="A49" s="8" t="str">
        <f>'Sovereign Ratings (Moody''s,S&amp;P)'!A49</f>
        <v>El Salvador</v>
      </c>
      <c r="B49" s="119">
        <f>VLOOKUP(A49,'Country GDP'!$A$2:$B$181,2,FALSE)</f>
        <v>35364.959999999999</v>
      </c>
      <c r="C49" s="9" t="str">
        <f>VLOOKUP(A49,'Sovereign Ratings (Moody''s,S&amp;P)'!$A$2:$D$158,4,FALSE)</f>
        <v>B3</v>
      </c>
      <c r="D49" s="11">
        <f>VLOOKUP(A49,'10-year CDS Spreads'!$A$2:$C$158,3,FALSE)</f>
        <v>4.9700000000000001E-2</v>
      </c>
      <c r="E49" s="21">
        <f>VLOOKUP(A49,'ERPs by country'!$A$9:$F$165,4,FALSE)</f>
        <v>6.1849989354559008E-2</v>
      </c>
      <c r="F49" s="10">
        <f>VLOOKUP(A49,'ERPs by country'!$A$9:$F$165,5,FALSE)</f>
        <v>0.14260141204291102</v>
      </c>
      <c r="G49" s="14">
        <f>VLOOKUP(A49,'ERPs by country'!$A$9:$F$165,6,FALSE)</f>
        <v>9.4901412042911026E-2</v>
      </c>
      <c r="H49" s="14">
        <f>VLOOKUP(A49,'Country Tax Rates'!$A$2:$B$159,2,FALSE)</f>
        <v>0.3</v>
      </c>
      <c r="I49" s="15" t="str">
        <f>VLOOKUP(A49,'Regional lookup table'!$A$2:$B$162,2,FALSE)</f>
        <v>Central and South America</v>
      </c>
    </row>
    <row r="50" spans="1:9" ht="16">
      <c r="A50" s="8" t="str">
        <f>'Sovereign Ratings (Moody''s,S&amp;P)'!A50</f>
        <v>Estonia</v>
      </c>
      <c r="B50" s="119">
        <f>VLOOKUP(A50,'Country GDP'!$A$2:$B$181,2,FALSE)</f>
        <v>43130.419829349994</v>
      </c>
      <c r="C50" s="9" t="str">
        <f>VLOOKUP(A50,'Sovereign Ratings (Moody''s,S&amp;P)'!$A$2:$D$158,4,FALSE)</f>
        <v>A1</v>
      </c>
      <c r="D50" s="11">
        <f>VLOOKUP(A50,'10-year CDS Spreads'!$A$2:$C$158,3,FALSE)</f>
        <v>9.5999999999999992E-3</v>
      </c>
      <c r="E50" s="21">
        <f>VLOOKUP(A50,'ERPs by country'!$A$9:$F$165,4,FALSE)</f>
        <v>6.710667922736965E-3</v>
      </c>
      <c r="F50" s="10">
        <f>VLOOKUP(A50,'ERPs by country'!$A$9:$F$165,5,FALSE)</f>
        <v>5.7996717400677508E-2</v>
      </c>
      <c r="G50" s="14">
        <f>VLOOKUP(A50,'ERPs by country'!$A$9:$F$165,6,FALSE)</f>
        <v>1.0296717400677511E-2</v>
      </c>
      <c r="H50" s="14">
        <f>VLOOKUP(A50,'Country Tax Rates'!$A$2:$B$159,2,FALSE)</f>
        <v>0.2</v>
      </c>
      <c r="I50" s="15" t="str">
        <f>VLOOKUP(A50,'Regional lookup table'!$A$2:$B$162,2,FALSE)</f>
        <v>Eastern Europe &amp; Russia</v>
      </c>
    </row>
    <row r="51" spans="1:9" ht="16">
      <c r="A51" s="8" t="str">
        <f>'Sovereign Ratings (Moody''s,S&amp;P)'!A51</f>
        <v>Ethiopia</v>
      </c>
      <c r="B51" s="119">
        <f>VLOOKUP(A51,'Country GDP'!$A$2:$B$181,2,FALSE)</f>
        <v>149740.29795298603</v>
      </c>
      <c r="C51" s="9" t="str">
        <f>VLOOKUP(A51,'Sovereign Ratings (Moody''s,S&amp;P)'!$A$2:$D$158,4,FALSE)</f>
        <v>Caa2</v>
      </c>
      <c r="D51" s="11" t="str">
        <f>VLOOKUP(A51,'10-year CDS Spreads'!$A$2:$C$158,3,FALSE)</f>
        <v>NA</v>
      </c>
      <c r="E51" s="21">
        <f>VLOOKUP(A51,'ERPs by country'!$A$9:$F$165,4,FALSE)</f>
        <v>8.5672860480275226E-2</v>
      </c>
      <c r="F51" s="10">
        <f>VLOOKUP(A51,'ERPs by country'!$A$9:$F$165,5,FALSE)</f>
        <v>0.17915475881531617</v>
      </c>
      <c r="G51" s="14">
        <f>VLOOKUP(A51,'ERPs by country'!$A$9:$F$165,6,FALSE)</f>
        <v>0.13145475881531618</v>
      </c>
      <c r="H51" s="14">
        <f>VLOOKUP(A51,'Country Tax Rates'!$A$2:$B$159,2,FALSE)</f>
        <v>0.3</v>
      </c>
      <c r="I51" s="15" t="str">
        <f>VLOOKUP(A51,'Regional lookup table'!$A$2:$B$162,2,FALSE)</f>
        <v>Africa</v>
      </c>
    </row>
    <row r="52" spans="1:9" ht="16">
      <c r="A52" s="8" t="str">
        <f>'Sovereign Ratings (Moody''s,S&amp;P)'!A52</f>
        <v>Fiji</v>
      </c>
      <c r="B52" s="119">
        <f>VLOOKUP(A52,'Country GDP'!$A$2:$B$181,2,FALSE)</f>
        <v>5968.1259092712598</v>
      </c>
      <c r="C52" s="9" t="str">
        <f>VLOOKUP(A52,'Sovereign Ratings (Moody''s,S&amp;P)'!$A$2:$D$158,4,FALSE)</f>
        <v>B1</v>
      </c>
      <c r="D52" s="11" t="str">
        <f>VLOOKUP(A52,'10-year CDS Spreads'!$A$2:$C$158,3,FALSE)</f>
        <v>NA</v>
      </c>
      <c r="E52" s="21">
        <f>VLOOKUP(A52,'ERPs by country'!$A$9:$F$165,4,FALSE)</f>
        <v>4.2836430240137613E-2</v>
      </c>
      <c r="F52" s="10">
        <f>VLOOKUP(A52,'ERPs by country'!$A$9:$F$165,5,FALSE)</f>
        <v>0.1134273794076581</v>
      </c>
      <c r="G52" s="14">
        <f>VLOOKUP(A52,'ERPs by country'!$A$9:$F$165,6,FALSE)</f>
        <v>6.572737940765809E-2</v>
      </c>
      <c r="H52" s="14">
        <f>VLOOKUP(A52,'Country Tax Rates'!$A$2:$B$159,2,FALSE)</f>
        <v>0.25</v>
      </c>
      <c r="I52" s="15" t="str">
        <f>VLOOKUP(A52,'Regional lookup table'!$A$2:$B$162,2,FALSE)</f>
        <v>Asia</v>
      </c>
    </row>
    <row r="53" spans="1:9" ht="16">
      <c r="A53" s="8" t="str">
        <f>'Sovereign Ratings (Moody''s,S&amp;P)'!A53</f>
        <v>Finland</v>
      </c>
      <c r="B53" s="119">
        <f>VLOOKUP(A53,'Country GDP'!$A$2:$B$181,2,FALSE)</f>
        <v>298696.96129765618</v>
      </c>
      <c r="C53" s="9" t="str">
        <f>VLOOKUP(A53,'Sovereign Ratings (Moody''s,S&amp;P)'!$A$2:$D$158,4,FALSE)</f>
        <v>Aa1</v>
      </c>
      <c r="D53" s="11">
        <f>VLOOKUP(A53,'10-year CDS Spreads'!$A$2:$C$158,3,FALSE)</f>
        <v>2.8999999999999998E-3</v>
      </c>
      <c r="E53" s="21">
        <f>VLOOKUP(A53,'ERPs by country'!$A$9:$F$165,4,FALSE)</f>
        <v>2.6131717269259457E-3</v>
      </c>
      <c r="F53" s="10">
        <f>VLOOKUP(A53,'ERPs by country'!$A$9:$F$165,5,FALSE)</f>
        <v>5.1709599506545502E-2</v>
      </c>
      <c r="G53" s="14">
        <f>VLOOKUP(A53,'ERPs by country'!$A$9:$F$165,6,FALSE)</f>
        <v>4.0095995065455052E-3</v>
      </c>
      <c r="H53" s="14">
        <f>VLOOKUP(A53,'Country Tax Rates'!$A$2:$B$159,2,FALSE)</f>
        <v>0.2</v>
      </c>
      <c r="I53" s="15" t="str">
        <f>VLOOKUP(A53,'Regional lookup table'!$A$2:$B$162,2,FALSE)</f>
        <v>Western Europe</v>
      </c>
    </row>
    <row r="54" spans="1:9" ht="16">
      <c r="A54" s="8" t="str">
        <f>'Sovereign Ratings (Moody''s,S&amp;P)'!A54</f>
        <v>France</v>
      </c>
      <c r="B54" s="119">
        <f>VLOOKUP(A54,'Country GDP'!$A$2:$B$181,2,FALSE)</f>
        <v>3160442.6224650778</v>
      </c>
      <c r="C54" s="9" t="str">
        <f>VLOOKUP(A54,'Sovereign Ratings (Moody''s,S&amp;P)'!$A$2:$D$158,4,FALSE)</f>
        <v>Aa3</v>
      </c>
      <c r="D54" s="11">
        <f>VLOOKUP(A54,'10-year CDS Spreads'!$A$2:$C$158,3,FALSE)</f>
        <v>6.7000000000000002E-3</v>
      </c>
      <c r="E54" s="21">
        <f>VLOOKUP(A54,'ERPs by country'!$A$9:$F$165,4,FALSE)</f>
        <v>5.7040677343264193E-3</v>
      </c>
      <c r="F54" s="10">
        <f>VLOOKUP(A54,'ERPs by country'!$A$9:$F$165,5,FALSE)</f>
        <v>5.6452209790575886E-2</v>
      </c>
      <c r="G54" s="14">
        <f>VLOOKUP(A54,'ERPs by country'!$A$9:$F$165,6,FALSE)</f>
        <v>8.7522097905758829E-3</v>
      </c>
      <c r="H54" s="14">
        <f>VLOOKUP(A54,'Country Tax Rates'!$A$2:$B$159,2,FALSE)</f>
        <v>0.25829999999999997</v>
      </c>
      <c r="I54" s="15" t="str">
        <f>VLOOKUP(A54,'Regional lookup table'!$A$2:$B$162,2,FALSE)</f>
        <v>Western Europe</v>
      </c>
    </row>
    <row r="55" spans="1:9" ht="16">
      <c r="A55" s="8" t="str">
        <f>'Sovereign Ratings (Moody''s,S&amp;P)'!A55</f>
        <v>Gabon</v>
      </c>
      <c r="B55" s="119">
        <f>VLOOKUP(A55,'Country GDP'!$A$2:$B$181,2,FALSE)</f>
        <v>20895.684425675219</v>
      </c>
      <c r="C55" s="9" t="str">
        <f>VLOOKUP(A55,'Sovereign Ratings (Moody''s,S&amp;P)'!$A$2:$D$158,4,FALSE)</f>
        <v>Caa2</v>
      </c>
      <c r="D55" s="11" t="str">
        <f>VLOOKUP(A55,'10-year CDS Spreads'!$A$2:$C$158,3,FALSE)</f>
        <v>NA</v>
      </c>
      <c r="E55" s="21">
        <f>VLOOKUP(A55,'ERPs by country'!$A$9:$F$165,4,FALSE)</f>
        <v>8.5672860480275226E-2</v>
      </c>
      <c r="F55" s="10">
        <f>VLOOKUP(A55,'ERPs by country'!$A$9:$F$165,5,FALSE)</f>
        <v>0.17915475881531617</v>
      </c>
      <c r="G55" s="14">
        <f>VLOOKUP(A55,'ERPs by country'!$A$9:$F$165,6,FALSE)</f>
        <v>0.13145475881531618</v>
      </c>
      <c r="H55" s="14">
        <f>VLOOKUP(A55,'Country Tax Rates'!$A$2:$B$159,2,FALSE)</f>
        <v>0.3</v>
      </c>
      <c r="I55" s="15" t="str">
        <f>VLOOKUP(A55,'Regional lookup table'!$A$2:$B$162,2,FALSE)</f>
        <v>Africa</v>
      </c>
    </row>
    <row r="56" spans="1:9" ht="16">
      <c r="A56" s="8" t="str">
        <f>'Sovereign Ratings (Moody''s,S&amp;P)'!A56</f>
        <v>Georgia</v>
      </c>
      <c r="B56" s="119">
        <f>VLOOKUP(A56,'Country GDP'!$A$2:$B$181,2,FALSE)</f>
        <v>34189.42354499553</v>
      </c>
      <c r="C56" s="9" t="str">
        <f>VLOOKUP(A56,'Sovereign Ratings (Moody''s,S&amp;P)'!$A$2:$D$158,4,FALSE)</f>
        <v>Ba2</v>
      </c>
      <c r="D56" s="11" t="str">
        <f>VLOOKUP(A56,'10-year CDS Spreads'!$A$2:$C$158,3,FALSE)</f>
        <v>NA</v>
      </c>
      <c r="E56" s="21">
        <f>VLOOKUP(A56,'ERPs by country'!$A$9:$F$165,4,FALSE)</f>
        <v>2.863218313701105E-2</v>
      </c>
      <c r="F56" s="10">
        <f>VLOOKUP(A56,'ERPs by country'!$A$9:$F$165,5,FALSE)</f>
        <v>9.1632660909557379E-2</v>
      </c>
      <c r="G56" s="14">
        <f>VLOOKUP(A56,'ERPs by country'!$A$9:$F$165,6,FALSE)</f>
        <v>4.3932660909557379E-2</v>
      </c>
      <c r="H56" s="14">
        <f>VLOOKUP(A56,'Country Tax Rates'!$A$2:$B$159,2,FALSE)</f>
        <v>0.15</v>
      </c>
      <c r="I56" s="15" t="str">
        <f>VLOOKUP(A56,'Regional lookup table'!$A$2:$B$162,2,FALSE)</f>
        <v>Eastern Europe &amp; Russia</v>
      </c>
    </row>
    <row r="57" spans="1:9" ht="16">
      <c r="A57" s="8" t="str">
        <f>'Sovereign Ratings (Moody''s,S&amp;P)'!A57</f>
        <v>Germany</v>
      </c>
      <c r="B57" s="119">
        <f>VLOOKUP(A57,'Country GDP'!$A$2:$B$181,2,FALSE)</f>
        <v>4685592.5778046865</v>
      </c>
      <c r="C57" s="9" t="str">
        <f>VLOOKUP(A57,'Sovereign Ratings (Moody''s,S&amp;P)'!$A$2:$D$158,4,FALSE)</f>
        <v>Aaa</v>
      </c>
      <c r="D57" s="11">
        <f>VLOOKUP(A57,'10-year CDS Spreads'!$A$2:$C$158,3,FALSE)</f>
        <v>2.0999999999999999E-3</v>
      </c>
      <c r="E57" s="21">
        <f>VLOOKUP(A57,'ERPs by country'!$A$9:$F$165,4,FALSE)</f>
        <v>0</v>
      </c>
      <c r="F57" s="10">
        <f>VLOOKUP(A57,'ERPs by country'!$A$9:$F$165,5,FALSE)</f>
        <v>4.7699999999999999E-2</v>
      </c>
      <c r="G57" s="14">
        <f>VLOOKUP(A57,'ERPs by country'!$A$9:$F$165,6,FALSE)</f>
        <v>0</v>
      </c>
      <c r="H57" s="14">
        <f>VLOOKUP(A57,'Country Tax Rates'!$A$2:$B$159,2,FALSE)</f>
        <v>0.29930000000000001</v>
      </c>
      <c r="I57" s="15" t="str">
        <f>VLOOKUP(A57,'Regional lookup table'!$A$2:$B$162,2,FALSE)</f>
        <v>Western Europe</v>
      </c>
    </row>
    <row r="58" spans="1:9" ht="16">
      <c r="A58" s="8" t="str">
        <f>'Sovereign Ratings (Moody''s,S&amp;P)'!A58</f>
        <v>Ghana</v>
      </c>
      <c r="B58" s="119">
        <f>VLOOKUP(A58,'Country GDP'!$A$2:$B$181,2,FALSE)</f>
        <v>82308.110386464061</v>
      </c>
      <c r="C58" s="9" t="str">
        <f>VLOOKUP(A58,'Sovereign Ratings (Moody''s,S&amp;P)'!$A$2:$D$158,4,FALSE)</f>
        <v>Caa1</v>
      </c>
      <c r="D58" s="11" t="str">
        <f>VLOOKUP(A58,'10-year CDS Spreads'!$A$2:$C$158,3,FALSE)</f>
        <v>NA</v>
      </c>
      <c r="E58" s="21">
        <f>VLOOKUP(A58,'ERPs by country'!$A$9:$F$165,4,FALSE)</f>
        <v>7.1356768911769716E-2</v>
      </c>
      <c r="F58" s="10">
        <f>VLOOKUP(A58,'ERPs by country'!$A$9:$F$165,5,FALSE)</f>
        <v>0.15718842836053751</v>
      </c>
      <c r="G58" s="14">
        <f>VLOOKUP(A58,'ERPs by country'!$A$9:$F$165,6,FALSE)</f>
        <v>0.10948842836053752</v>
      </c>
      <c r="H58" s="14">
        <f>VLOOKUP(A58,'Country Tax Rates'!$A$2:$B$159,2,FALSE)</f>
        <v>0.25</v>
      </c>
      <c r="I58" s="15" t="str">
        <f>VLOOKUP(A58,'Regional lookup table'!$A$2:$B$162,2,FALSE)</f>
        <v>Africa</v>
      </c>
    </row>
    <row r="59" spans="1:9" ht="16">
      <c r="A59" s="8" t="str">
        <f>'Sovereign Ratings (Moody''s,S&amp;P)'!A59</f>
        <v>Greece</v>
      </c>
      <c r="B59" s="119">
        <f>VLOOKUP(A59,'Country GDP'!$A$2:$B$181,2,FALSE)</f>
        <v>256238.37177811793</v>
      </c>
      <c r="C59" s="9" t="str">
        <f>VLOOKUP(A59,'Sovereign Ratings (Moody''s,S&amp;P)'!$A$2:$D$158,4,FALSE)</f>
        <v>Baa3</v>
      </c>
      <c r="D59" s="11">
        <f>VLOOKUP(A59,'10-year CDS Spreads'!$A$2:$C$158,3,FALSE)</f>
        <v>7.9000000000000008E-3</v>
      </c>
      <c r="E59" s="21">
        <f>VLOOKUP(A59,'ERPs by country'!$A$9:$F$165,4,FALSE)</f>
        <v>2.091491502586354E-2</v>
      </c>
      <c r="F59" s="10">
        <f>VLOOKUP(A59,'ERPs by country'!$A$9:$F$165,5,FALSE)</f>
        <v>7.979143589877824E-2</v>
      </c>
      <c r="G59" s="14">
        <f>VLOOKUP(A59,'ERPs by country'!$A$9:$F$165,6,FALSE)</f>
        <v>3.2091435898778241E-2</v>
      </c>
      <c r="H59" s="14">
        <f>VLOOKUP(A59,'Country Tax Rates'!$A$2:$B$159,2,FALSE)</f>
        <v>0.22</v>
      </c>
      <c r="I59" s="15" t="str">
        <f>VLOOKUP(A59,'Regional lookup table'!$A$2:$B$162,2,FALSE)</f>
        <v>Western Europe</v>
      </c>
    </row>
    <row r="60" spans="1:9" ht="16">
      <c r="A60" s="8" t="str">
        <f>'Sovereign Ratings (Moody''s,S&amp;P)'!A60</f>
        <v>Guatemala</v>
      </c>
      <c r="B60" s="119">
        <f>VLOOKUP(A60,'Country GDP'!$A$2:$B$181,2,FALSE)</f>
        <v>113199.58115820274</v>
      </c>
      <c r="C60" s="9" t="str">
        <f>VLOOKUP(A60,'Sovereign Ratings (Moody''s,S&amp;P)'!$A$2:$D$158,4,FALSE)</f>
        <v>Ba1</v>
      </c>
      <c r="D60" s="11" t="str">
        <f>VLOOKUP(A60,'10-year CDS Spreads'!$A$2:$C$158,3,FALSE)</f>
        <v>NA</v>
      </c>
      <c r="E60" s="21">
        <f>VLOOKUP(A60,'ERPs by country'!$A$9:$F$165,4,FALSE)</f>
        <v>2.3822871125716225E-2</v>
      </c>
      <c r="F60" s="10">
        <f>VLOOKUP(A60,'ERPs by country'!$A$9:$F$165,5,FALSE)</f>
        <v>8.425334677240516E-2</v>
      </c>
      <c r="G60" s="14">
        <f>VLOOKUP(A60,'ERPs by country'!$A$9:$F$165,6,FALSE)</f>
        <v>3.6553346772405161E-2</v>
      </c>
      <c r="H60" s="14">
        <f>VLOOKUP(A60,'Country Tax Rates'!$A$2:$B$159,2,FALSE)</f>
        <v>0.25</v>
      </c>
      <c r="I60" s="15" t="str">
        <f>VLOOKUP(A60,'Regional lookup table'!$A$2:$B$162,2,FALSE)</f>
        <v>Central and South America</v>
      </c>
    </row>
    <row r="61" spans="1:9" ht="16">
      <c r="A61" s="8" t="str">
        <f>'Sovereign Ratings (Moody''s,S&amp;P)'!A61</f>
        <v>Guernsey (States of)</v>
      </c>
      <c r="B61" s="119">
        <f>VLOOKUP(A61,'Country GDP'!$A$2:$B$181,2,FALSE)</f>
        <v>3446</v>
      </c>
      <c r="C61" s="9" t="str">
        <f>VLOOKUP(A61,'Sovereign Ratings (Moody''s,S&amp;P)'!$A$2:$D$158,4,FALSE)</f>
        <v>A1</v>
      </c>
      <c r="D61" s="11" t="str">
        <f>VLOOKUP(A61,'10-year CDS Spreads'!$A$2:$C$158,3,FALSE)</f>
        <v>NA</v>
      </c>
      <c r="E61" s="21">
        <f>VLOOKUP(A61,'ERPs by country'!$A$9:$F$165,4,FALSE)</f>
        <v>6.710667922736965E-3</v>
      </c>
      <c r="F61" s="10">
        <f>VLOOKUP(A61,'ERPs by country'!$A$9:$F$165,5,FALSE)</f>
        <v>5.7996717400677508E-2</v>
      </c>
      <c r="G61" s="14">
        <f>VLOOKUP(A61,'ERPs by country'!$A$9:$F$165,6,FALSE)</f>
        <v>1.0296717400677511E-2</v>
      </c>
      <c r="H61" s="14">
        <f>VLOOKUP(A61,'Country Tax Rates'!$A$2:$B$159,2,FALSE)</f>
        <v>0</v>
      </c>
      <c r="I61" s="15" t="str">
        <f>VLOOKUP(A61,'Regional lookup table'!$A$2:$B$162,2,FALSE)</f>
        <v>Western Europe</v>
      </c>
    </row>
    <row r="62" spans="1:9" ht="16">
      <c r="A62" s="8" t="str">
        <f>'Sovereign Ratings (Moody''s,S&amp;P)'!A62</f>
        <v>Honduras</v>
      </c>
      <c r="B62" s="119">
        <f>VLOOKUP(A62,'Country GDP'!$A$2:$B$181,2,FALSE)</f>
        <v>37093.565854043678</v>
      </c>
      <c r="C62" s="9" t="str">
        <f>VLOOKUP(A62,'Sovereign Ratings (Moody''s,S&amp;P)'!$A$2:$D$158,4,FALSE)</f>
        <v>B1</v>
      </c>
      <c r="D62" s="11" t="str">
        <f>VLOOKUP(A62,'10-year CDS Spreads'!$A$2:$C$158,3,FALSE)</f>
        <v>NA</v>
      </c>
      <c r="E62" s="21">
        <f>VLOOKUP(A62,'ERPs by country'!$A$9:$F$165,4,FALSE)</f>
        <v>4.2836430240137613E-2</v>
      </c>
      <c r="F62" s="10">
        <f>VLOOKUP(A62,'ERPs by country'!$A$9:$F$165,5,FALSE)</f>
        <v>0.1134273794076581</v>
      </c>
      <c r="G62" s="14">
        <f>VLOOKUP(A62,'ERPs by country'!$A$9:$F$165,6,FALSE)</f>
        <v>6.572737940765809E-2</v>
      </c>
      <c r="H62" s="14">
        <f>VLOOKUP(A62,'Country Tax Rates'!$A$2:$B$159,2,FALSE)</f>
        <v>0.3</v>
      </c>
      <c r="I62" s="15" t="str">
        <f>VLOOKUP(A62,'Regional lookup table'!$A$2:$B$162,2,FALSE)</f>
        <v>Central and South America</v>
      </c>
    </row>
    <row r="63" spans="1:9" ht="16">
      <c r="A63" s="8" t="str">
        <f>'Sovereign Ratings (Moody''s,S&amp;P)'!A63</f>
        <v>Hong Kong</v>
      </c>
      <c r="B63" s="119">
        <f>VLOOKUP(A63,'Country GDP'!$A$2:$B$181,2,FALSE)</f>
        <v>406863.39648734155</v>
      </c>
      <c r="C63" s="9" t="str">
        <f>VLOOKUP(A63,'Sovereign Ratings (Moody''s,S&amp;P)'!$A$2:$D$158,4,FALSE)</f>
        <v>Aa3</v>
      </c>
      <c r="D63" s="11">
        <f>VLOOKUP(A63,'10-year CDS Spreads'!$A$2:$C$158,3,FALSE)</f>
        <v>4.4999999999999997E-3</v>
      </c>
      <c r="E63" s="21">
        <f>VLOOKUP(A63,'ERPs by country'!$A$9:$F$165,4,FALSE)</f>
        <v>5.7040677343264193E-3</v>
      </c>
      <c r="F63" s="10">
        <f>VLOOKUP(A63,'ERPs by country'!$A$9:$F$165,5,FALSE)</f>
        <v>5.6452209790575886E-2</v>
      </c>
      <c r="G63" s="14">
        <f>VLOOKUP(A63,'ERPs by country'!$A$9:$F$165,6,FALSE)</f>
        <v>8.7522097905758829E-3</v>
      </c>
      <c r="H63" s="14">
        <f>VLOOKUP(A63,'Country Tax Rates'!$A$2:$B$159,2,FALSE)</f>
        <v>0.16500000000000001</v>
      </c>
      <c r="I63" s="15" t="str">
        <f>VLOOKUP(A63,'Regional lookup table'!$A$2:$B$162,2,FALSE)</f>
        <v>Asia</v>
      </c>
    </row>
    <row r="64" spans="1:9" ht="16">
      <c r="A64" s="8" t="str">
        <f>'Sovereign Ratings (Moody''s,S&amp;P)'!A64</f>
        <v>Hungary</v>
      </c>
      <c r="B64" s="119">
        <f>VLOOKUP(A64,'Country GDP'!$A$2:$B$181,2,FALSE)</f>
        <v>222722.73892564097</v>
      </c>
      <c r="C64" s="9" t="str">
        <f>VLOOKUP(A64,'Sovereign Ratings (Moody''s,S&amp;P)'!$A$2:$D$158,4,FALSE)</f>
        <v>Baa2</v>
      </c>
      <c r="D64" s="11">
        <f>VLOOKUP(A64,'10-year CDS Spreads'!$A$2:$C$158,3,FALSE)</f>
        <v>1.6899999999999998E-2</v>
      </c>
      <c r="E64" s="21">
        <f>VLOOKUP(A64,'ERPs by country'!$A$9:$F$165,4,FALSE)</f>
        <v>1.8118803391389805E-2</v>
      </c>
      <c r="F64" s="10">
        <f>VLOOKUP(A64,'ERPs by country'!$A$9:$F$165,5,FALSE)</f>
        <v>7.5501136981829281E-2</v>
      </c>
      <c r="G64" s="14">
        <f>VLOOKUP(A64,'ERPs by country'!$A$9:$F$165,6,FALSE)</f>
        <v>2.7801136981829278E-2</v>
      </c>
      <c r="H64" s="14">
        <f>VLOOKUP(A64,'Country Tax Rates'!$A$2:$B$159,2,FALSE)</f>
        <v>0.09</v>
      </c>
      <c r="I64" s="15" t="str">
        <f>VLOOKUP(A64,'Regional lookup table'!$A$2:$B$162,2,FALSE)</f>
        <v>Eastern Europe &amp; Russia</v>
      </c>
    </row>
    <row r="65" spans="1:9" ht="16">
      <c r="A65" s="8" t="str">
        <f>'Sovereign Ratings (Moody''s,S&amp;P)'!A65</f>
        <v>Iceland</v>
      </c>
      <c r="B65" s="119">
        <f>VLOOKUP(A65,'Country GDP'!$A$2:$B$181,2,FALSE)</f>
        <v>33255.181468938186</v>
      </c>
      <c r="C65" s="9" t="str">
        <f>VLOOKUP(A65,'Sovereign Ratings (Moody''s,S&amp;P)'!$A$2:$D$158,4,FALSE)</f>
        <v>A1</v>
      </c>
      <c r="D65" s="11">
        <f>VLOOKUP(A65,'10-year CDS Spreads'!$A$2:$C$158,3,FALSE)</f>
        <v>4.1999999999999997E-3</v>
      </c>
      <c r="E65" s="21">
        <f>VLOOKUP(A65,'ERPs by country'!$A$9:$F$165,4,FALSE)</f>
        <v>6.710667922736965E-3</v>
      </c>
      <c r="F65" s="10">
        <f>VLOOKUP(A65,'ERPs by country'!$A$9:$F$165,5,FALSE)</f>
        <v>5.7996717400677508E-2</v>
      </c>
      <c r="G65" s="14">
        <f>VLOOKUP(A65,'ERPs by country'!$A$9:$F$165,6,FALSE)</f>
        <v>1.0296717400677511E-2</v>
      </c>
      <c r="H65" s="14">
        <f>VLOOKUP(A65,'Country Tax Rates'!$A$2:$B$159,2,FALSE)</f>
        <v>0.21</v>
      </c>
      <c r="I65" s="15" t="str">
        <f>VLOOKUP(A65,'Regional lookup table'!$A$2:$B$162,2,FALSE)</f>
        <v>Western Europe</v>
      </c>
    </row>
    <row r="66" spans="1:9" ht="16">
      <c r="A66" s="8" t="str">
        <f>'Sovereign Ratings (Moody''s,S&amp;P)'!A66</f>
        <v>India</v>
      </c>
      <c r="B66" s="119">
        <f>VLOOKUP(A66,'Country GDP'!$A$2:$B$181,2,FALSE)</f>
        <v>3909891.5338580837</v>
      </c>
      <c r="C66" s="9" t="str">
        <f>VLOOKUP(A66,'Sovereign Ratings (Moody''s,S&amp;P)'!$A$2:$D$158,4,FALSE)</f>
        <v>Baa3</v>
      </c>
      <c r="D66" s="11">
        <f>VLOOKUP(A66,'10-year CDS Spreads'!$A$2:$C$158,3,FALSE)</f>
        <v>1.0200000000000001E-2</v>
      </c>
      <c r="E66" s="21">
        <f>VLOOKUP(A66,'ERPs by country'!$A$9:$F$165,4,FALSE)</f>
        <v>2.091491502586354E-2</v>
      </c>
      <c r="F66" s="10">
        <f>VLOOKUP(A66,'ERPs by country'!$A$9:$F$165,5,FALSE)</f>
        <v>7.979143589877824E-2</v>
      </c>
      <c r="G66" s="14">
        <f>VLOOKUP(A66,'ERPs by country'!$A$9:$F$165,6,FALSE)</f>
        <v>3.2091435898778241E-2</v>
      </c>
      <c r="H66" s="14">
        <f>VLOOKUP(A66,'Country Tax Rates'!$A$2:$B$159,2,FALSE)</f>
        <v>0.3</v>
      </c>
      <c r="I66" s="15" t="str">
        <f>VLOOKUP(A66,'Regional lookup table'!$A$2:$B$162,2,FALSE)</f>
        <v>Asia</v>
      </c>
    </row>
    <row r="67" spans="1:9" ht="16">
      <c r="A67" s="8" t="str">
        <f>'Sovereign Ratings (Moody''s,S&amp;P)'!A67</f>
        <v>Indonesia</v>
      </c>
      <c r="B67" s="119">
        <f>VLOOKUP(A67,'Country GDP'!$A$2:$B$181,2,FALSE)</f>
        <v>1396300.0981909733</v>
      </c>
      <c r="C67" s="9" t="str">
        <f>VLOOKUP(A67,'Sovereign Ratings (Moody''s,S&amp;P)'!$A$2:$D$158,4,FALSE)</f>
        <v>Baa2</v>
      </c>
      <c r="D67" s="11">
        <f>VLOOKUP(A67,'10-year CDS Spreads'!$A$2:$C$158,3,FALSE)</f>
        <v>1.5900000000000001E-2</v>
      </c>
      <c r="E67" s="21">
        <f>VLOOKUP(A67,'ERPs by country'!$A$9:$F$165,4,FALSE)</f>
        <v>1.8118803391389805E-2</v>
      </c>
      <c r="F67" s="10">
        <f>VLOOKUP(A67,'ERPs by country'!$A$9:$F$165,5,FALSE)</f>
        <v>7.5501136981829281E-2</v>
      </c>
      <c r="G67" s="14">
        <f>VLOOKUP(A67,'ERPs by country'!$A$9:$F$165,6,FALSE)</f>
        <v>2.7801136981829278E-2</v>
      </c>
      <c r="H67" s="14">
        <f>VLOOKUP(A67,'Country Tax Rates'!$A$2:$B$159,2,FALSE)</f>
        <v>0.22</v>
      </c>
      <c r="I67" s="15" t="str">
        <f>VLOOKUP(A67,'Regional lookup table'!$A$2:$B$162,2,FALSE)</f>
        <v>Asia</v>
      </c>
    </row>
    <row r="68" spans="1:9" ht="16">
      <c r="A68" s="8" t="str">
        <f>'Sovereign Ratings (Moody''s,S&amp;P)'!A68</f>
        <v>Iraq</v>
      </c>
      <c r="B68" s="119">
        <f>VLOOKUP(A68,'Country GDP'!$A$2:$B$181,2,FALSE)</f>
        <v>279641.25761538465</v>
      </c>
      <c r="C68" s="9" t="str">
        <f>VLOOKUP(A68,'Sovereign Ratings (Moody''s,S&amp;P)'!$A$2:$D$158,4,FALSE)</f>
        <v>Caa1</v>
      </c>
      <c r="D68" s="11">
        <f>VLOOKUP(A68,'10-year CDS Spreads'!$A$2:$C$158,3,FALSE)</f>
        <v>5.8799999999999998E-2</v>
      </c>
      <c r="E68" s="21">
        <f>VLOOKUP(A68,'ERPs by country'!$A$9:$F$165,4,FALSE)</f>
        <v>7.1356768911769716E-2</v>
      </c>
      <c r="F68" s="10">
        <f>VLOOKUP(A68,'ERPs by country'!$A$9:$F$165,5,FALSE)</f>
        <v>0.15718842836053751</v>
      </c>
      <c r="G68" s="14">
        <f>VLOOKUP(A68,'ERPs by country'!$A$9:$F$165,6,FALSE)</f>
        <v>0.10948842836053752</v>
      </c>
      <c r="H68" s="14">
        <f>VLOOKUP(A68,'Country Tax Rates'!$A$2:$B$159,2,FALSE)</f>
        <v>0.15</v>
      </c>
      <c r="I68" s="15" t="str">
        <f>VLOOKUP(A68,'Regional lookup table'!$A$2:$B$162,2,FALSE)</f>
        <v>Middle East</v>
      </c>
    </row>
    <row r="69" spans="1:9" ht="16">
      <c r="A69" s="8" t="str">
        <f>'Sovereign Ratings (Moody''s,S&amp;P)'!A69</f>
        <v>Ireland</v>
      </c>
      <c r="B69" s="119">
        <f>VLOOKUP(A69,'Country GDP'!$A$2:$B$181,2,FALSE)</f>
        <v>609157.45974720537</v>
      </c>
      <c r="C69" s="9" t="str">
        <f>VLOOKUP(A69,'Sovereign Ratings (Moody''s,S&amp;P)'!$A$2:$D$158,4,FALSE)</f>
        <v>Aa3</v>
      </c>
      <c r="D69" s="11">
        <f>VLOOKUP(A69,'10-year CDS Spreads'!$A$2:$C$158,3,FALSE)</f>
        <v>3.0999999999999999E-3</v>
      </c>
      <c r="E69" s="21">
        <f>VLOOKUP(A69,'ERPs by country'!$A$9:$F$165,4,FALSE)</f>
        <v>5.7040677343264193E-3</v>
      </c>
      <c r="F69" s="10">
        <f>VLOOKUP(A69,'ERPs by country'!$A$9:$F$165,5,FALSE)</f>
        <v>5.6452209790575886E-2</v>
      </c>
      <c r="G69" s="14">
        <f>VLOOKUP(A69,'ERPs by country'!$A$9:$F$165,6,FALSE)</f>
        <v>8.7522097905758829E-3</v>
      </c>
      <c r="H69" s="14">
        <f>VLOOKUP(A69,'Country Tax Rates'!$A$2:$B$159,2,FALSE)</f>
        <v>0.125</v>
      </c>
      <c r="I69" s="15" t="str">
        <f>VLOOKUP(A69,'Regional lookup table'!$A$2:$B$162,2,FALSE)</f>
        <v>Western Europe</v>
      </c>
    </row>
    <row r="70" spans="1:9" ht="16">
      <c r="A70" s="8" t="str">
        <f>'Sovereign Ratings (Moody''s,S&amp;P)'!A70</f>
        <v>Isle of Man</v>
      </c>
      <c r="B70" s="119">
        <f>VLOOKUP(A70,'Country GDP'!$A$2:$B$181,2,FALSE)</f>
        <v>7431.2574109271272</v>
      </c>
      <c r="C70" s="9" t="str">
        <f>VLOOKUP(A70,'Sovereign Ratings (Moody''s,S&amp;P)'!$A$2:$D$158,4,FALSE)</f>
        <v>Aa3</v>
      </c>
      <c r="D70" s="11" t="str">
        <f>VLOOKUP(A70,'10-year CDS Spreads'!$A$2:$C$158,3,FALSE)</f>
        <v>NA</v>
      </c>
      <c r="E70" s="21">
        <f>VLOOKUP(A70,'ERPs by country'!$A$9:$F$165,4,FALSE)</f>
        <v>5.7040677343264193E-3</v>
      </c>
      <c r="F70" s="10">
        <f>VLOOKUP(A70,'ERPs by country'!$A$9:$F$165,5,FALSE)</f>
        <v>5.6452209790575886E-2</v>
      </c>
      <c r="G70" s="14">
        <f>VLOOKUP(A70,'ERPs by country'!$A$9:$F$165,6,FALSE)</f>
        <v>8.7522097905758829E-3</v>
      </c>
      <c r="H70" s="14">
        <f>VLOOKUP(A70,'Country Tax Rates'!$A$2:$B$159,2,FALSE)</f>
        <v>0</v>
      </c>
      <c r="I70" s="15" t="str">
        <f>VLOOKUP(A70,'Regional lookup table'!$A$2:$B$162,2,FALSE)</f>
        <v>Western Europe</v>
      </c>
    </row>
    <row r="71" spans="1:9" ht="16">
      <c r="A71" s="8" t="str">
        <f>'Sovereign Ratings (Moody''s,S&amp;P)'!A71</f>
        <v>Israel</v>
      </c>
      <c r="B71" s="119">
        <f>VLOOKUP(A71,'Country GDP'!$A$2:$B$181,2,FALSE)</f>
        <v>540379.92126168101</v>
      </c>
      <c r="C71" s="9" t="str">
        <f>VLOOKUP(A71,'Sovereign Ratings (Moody''s,S&amp;P)'!$A$2:$D$158,4,FALSE)</f>
        <v>Baa1</v>
      </c>
      <c r="D71" s="11">
        <f>VLOOKUP(A71,'10-year CDS Spreads'!$A$2:$C$158,3,FALSE)</f>
        <v>1.2500000000000001E-2</v>
      </c>
      <c r="E71" s="21">
        <f>VLOOKUP(A71,'ERPs by country'!$A$9:$F$165,4,FALSE)</f>
        <v>1.5210847291537115E-2</v>
      </c>
      <c r="F71" s="10">
        <f>VLOOKUP(A71,'ERPs by country'!$A$9:$F$165,5,FALSE)</f>
        <v>7.1039226108202347E-2</v>
      </c>
      <c r="G71" s="14">
        <f>VLOOKUP(A71,'ERPs by country'!$A$9:$F$165,6,FALSE)</f>
        <v>2.3339226108202347E-2</v>
      </c>
      <c r="H71" s="14">
        <f>VLOOKUP(A71,'Country Tax Rates'!$A$2:$B$159,2,FALSE)</f>
        <v>0.23</v>
      </c>
      <c r="I71" s="15" t="str">
        <f>VLOOKUP(A71,'Regional lookup table'!$A$2:$B$162,2,FALSE)</f>
        <v>Middle East</v>
      </c>
    </row>
    <row r="72" spans="1:9" ht="16">
      <c r="A72" s="8" t="str">
        <f>'Sovereign Ratings (Moody''s,S&amp;P)'!A72</f>
        <v>Italy</v>
      </c>
      <c r="B72" s="119">
        <f>VLOOKUP(A72,'Country GDP'!$A$2:$B$181,2,FALSE)</f>
        <v>2380825.0772435931</v>
      </c>
      <c r="C72" s="9" t="str">
        <f>VLOOKUP(A72,'Sovereign Ratings (Moody''s,S&amp;P)'!$A$2:$D$158,4,FALSE)</f>
        <v>Baa2</v>
      </c>
      <c r="D72" s="11">
        <f>VLOOKUP(A72,'10-year CDS Spreads'!$A$2:$C$158,3,FALSE)</f>
        <v>7.1999999999999998E-3</v>
      </c>
      <c r="E72" s="21">
        <f>VLOOKUP(A72,'ERPs by country'!$A$9:$F$165,4,FALSE)</f>
        <v>1.8118803391389805E-2</v>
      </c>
      <c r="F72" s="10">
        <f>VLOOKUP(A72,'ERPs by country'!$A$9:$F$165,5,FALSE)</f>
        <v>7.5501136981829281E-2</v>
      </c>
      <c r="G72" s="14">
        <f>VLOOKUP(A72,'ERPs by country'!$A$9:$F$165,6,FALSE)</f>
        <v>2.7801136981829278E-2</v>
      </c>
      <c r="H72" s="14">
        <f>VLOOKUP(A72,'Country Tax Rates'!$A$2:$B$159,2,FALSE)</f>
        <v>0.27810000000000001</v>
      </c>
      <c r="I72" s="15" t="str">
        <f>VLOOKUP(A72,'Regional lookup table'!$A$2:$B$162,2,FALSE)</f>
        <v>Western Europe</v>
      </c>
    </row>
    <row r="73" spans="1:9" ht="16">
      <c r="A73" s="8" t="str">
        <f>'Sovereign Ratings (Moody''s,S&amp;P)'!A73</f>
        <v>Jamaica</v>
      </c>
      <c r="B73" s="119">
        <f>VLOOKUP(A73,'Country GDP'!$A$2:$B$181,2,FALSE)</f>
        <v>22014.39708976886</v>
      </c>
      <c r="C73" s="9" t="str">
        <f>VLOOKUP(A73,'Sovereign Ratings (Moody''s,S&amp;P)'!$A$2:$D$158,4,FALSE)</f>
        <v>Ba3</v>
      </c>
      <c r="D73" s="11" t="str">
        <f>VLOOKUP(A73,'10-year CDS Spreads'!$A$2:$C$158,3,FALSE)</f>
        <v>NA</v>
      </c>
      <c r="E73" s="21">
        <f>VLOOKUP(A73,'ERPs by country'!$A$9:$F$165,4,FALSE)</f>
        <v>3.4224406405958516E-2</v>
      </c>
      <c r="F73" s="10">
        <f>VLOOKUP(A73,'ERPs by country'!$A$9:$F$165,5,FALSE)</f>
        <v>0.1002132587434553</v>
      </c>
      <c r="G73" s="14">
        <f>VLOOKUP(A73,'ERPs by country'!$A$9:$F$165,6,FALSE)</f>
        <v>5.2513258743455297E-2</v>
      </c>
      <c r="H73" s="14">
        <f>VLOOKUP(A73,'Country Tax Rates'!$A$2:$B$159,2,FALSE)</f>
        <v>0.25</v>
      </c>
      <c r="I73" s="15" t="str">
        <f>VLOOKUP(A73,'Regional lookup table'!$A$2:$B$162,2,FALSE)</f>
        <v>Caribbean</v>
      </c>
    </row>
    <row r="74" spans="1:9" ht="16">
      <c r="A74" s="8" t="str">
        <f>'Sovereign Ratings (Moody''s,S&amp;P)'!A74</f>
        <v>Japan</v>
      </c>
      <c r="B74" s="119">
        <f>VLOOKUP(A74,'Country GDP'!$A$2:$B$181,2,FALSE)</f>
        <v>4027597.5235505826</v>
      </c>
      <c r="C74" s="9" t="str">
        <f>VLOOKUP(A74,'Sovereign Ratings (Moody''s,S&amp;P)'!$A$2:$D$158,4,FALSE)</f>
        <v>A1</v>
      </c>
      <c r="D74" s="11">
        <f>VLOOKUP(A74,'10-year CDS Spreads'!$A$2:$C$158,3,FALSE)</f>
        <v>5.1000000000000004E-3</v>
      </c>
      <c r="E74" s="21">
        <f>VLOOKUP(A74,'ERPs by country'!$A$9:$F$165,4,FALSE)</f>
        <v>6.710667922736965E-3</v>
      </c>
      <c r="F74" s="10">
        <f>VLOOKUP(A74,'ERPs by country'!$A$9:$F$165,5,FALSE)</f>
        <v>5.7996717400677508E-2</v>
      </c>
      <c r="G74" s="14">
        <f>VLOOKUP(A74,'ERPs by country'!$A$9:$F$165,6,FALSE)</f>
        <v>1.0296717400677511E-2</v>
      </c>
      <c r="H74" s="14">
        <f>VLOOKUP(A74,'Country Tax Rates'!$A$2:$B$159,2,FALSE)</f>
        <v>0.2974</v>
      </c>
      <c r="I74" s="15" t="str">
        <f>VLOOKUP(A74,'Regional lookup table'!$A$2:$B$162,2,FALSE)</f>
        <v>Asia</v>
      </c>
    </row>
    <row r="75" spans="1:9" ht="16">
      <c r="A75" s="8" t="str">
        <f>'Sovereign Ratings (Moody''s,S&amp;P)'!A75</f>
        <v>Jersey (States of)</v>
      </c>
      <c r="B75" s="119">
        <f>VLOOKUP(A75,'Country GDP'!$A$2:$B$181,2,FALSE)</f>
        <v>4890</v>
      </c>
      <c r="C75" s="9" t="str">
        <f>VLOOKUP(A75,'Sovereign Ratings (Moody''s,S&amp;P)'!$A$2:$D$158,4,FALSE)</f>
        <v>Aa3</v>
      </c>
      <c r="D75" s="11" t="str">
        <f>VLOOKUP(A75,'10-year CDS Spreads'!$A$2:$C$158,3,FALSE)</f>
        <v>NA</v>
      </c>
      <c r="E75" s="21">
        <f>VLOOKUP(A75,'ERPs by country'!$A$9:$F$165,4,FALSE)</f>
        <v>5.7040677343264193E-3</v>
      </c>
      <c r="F75" s="10">
        <f>VLOOKUP(A75,'ERPs by country'!$A$9:$F$165,5,FALSE)</f>
        <v>5.6452209790575886E-2</v>
      </c>
      <c r="G75" s="14">
        <f>VLOOKUP(A75,'ERPs by country'!$A$9:$F$165,6,FALSE)</f>
        <v>8.7522097905758829E-3</v>
      </c>
      <c r="H75" s="14">
        <f>VLOOKUP(A75,'Country Tax Rates'!$A$2:$B$159,2,FALSE)</f>
        <v>0</v>
      </c>
      <c r="I75" s="15" t="str">
        <f>VLOOKUP(A75,'Regional lookup table'!$A$2:$B$162,2,FALSE)</f>
        <v>Western Europe</v>
      </c>
    </row>
    <row r="76" spans="1:9" ht="16">
      <c r="A76" s="8" t="str">
        <f>'Sovereign Ratings (Moody''s,S&amp;P)'!A76</f>
        <v>Jordan</v>
      </c>
      <c r="B76" s="119">
        <f>VLOOKUP(A76,'Country GDP'!$A$2:$B$181,2,FALSE)</f>
        <v>53352.289577464791</v>
      </c>
      <c r="C76" s="9" t="str">
        <f>VLOOKUP(A76,'Sovereign Ratings (Moody''s,S&amp;P)'!$A$2:$D$158,4,FALSE)</f>
        <v>Ba3</v>
      </c>
      <c r="D76" s="11" t="str">
        <f>VLOOKUP(A76,'10-year CDS Spreads'!$A$2:$C$158,3,FALSE)</f>
        <v>NA</v>
      </c>
      <c r="E76" s="21">
        <f>VLOOKUP(A76,'ERPs by country'!$A$9:$F$165,4,FALSE)</f>
        <v>3.4224406405958516E-2</v>
      </c>
      <c r="F76" s="10">
        <f>VLOOKUP(A76,'ERPs by country'!$A$9:$F$165,5,FALSE)</f>
        <v>0.1002132587434553</v>
      </c>
      <c r="G76" s="14">
        <f>VLOOKUP(A76,'ERPs by country'!$A$9:$F$165,6,FALSE)</f>
        <v>5.2513258743455297E-2</v>
      </c>
      <c r="H76" s="14">
        <f>VLOOKUP(A76,'Country Tax Rates'!$A$2:$B$159,2,FALSE)</f>
        <v>0.2</v>
      </c>
      <c r="I76" s="15" t="str">
        <f>VLOOKUP(A76,'Regional lookup table'!$A$2:$B$162,2,FALSE)</f>
        <v>Middle East</v>
      </c>
    </row>
    <row r="77" spans="1:9" ht="16">
      <c r="A77" s="8" t="str">
        <f>'Sovereign Ratings (Moody''s,S&amp;P)'!A77</f>
        <v>Kazakhstan</v>
      </c>
      <c r="B77" s="119">
        <f>VLOOKUP(A77,'Country GDP'!$A$2:$B$181,2,FALSE)</f>
        <v>291480.27464882593</v>
      </c>
      <c r="C77" s="9" t="str">
        <f>VLOOKUP(A77,'Sovereign Ratings (Moody''s,S&amp;P)'!$A$2:$D$158,4,FALSE)</f>
        <v>Baa1</v>
      </c>
      <c r="D77" s="11">
        <f>VLOOKUP(A77,'10-year CDS Spreads'!$A$2:$C$158,3,FALSE)</f>
        <v>1.6299999999999999E-2</v>
      </c>
      <c r="E77" s="21">
        <f>VLOOKUP(A77,'ERPs by country'!$A$9:$F$165,4,FALSE)</f>
        <v>1.5210847291537115E-2</v>
      </c>
      <c r="F77" s="10">
        <f>VLOOKUP(A77,'ERPs by country'!$A$9:$F$165,5,FALSE)</f>
        <v>7.1039226108202347E-2</v>
      </c>
      <c r="G77" s="14">
        <f>VLOOKUP(A77,'ERPs by country'!$A$9:$F$165,6,FALSE)</f>
        <v>2.3339226108202347E-2</v>
      </c>
      <c r="H77" s="14">
        <f>VLOOKUP(A77,'Country Tax Rates'!$A$2:$B$159,2,FALSE)</f>
        <v>0.2</v>
      </c>
      <c r="I77" s="15" t="str">
        <f>VLOOKUP(A77,'Regional lookup table'!$A$2:$B$162,2,FALSE)</f>
        <v>Eastern Europe &amp; Russia</v>
      </c>
    </row>
    <row r="78" spans="1:9" ht="16">
      <c r="A78" s="8" t="str">
        <f>'Sovereign Ratings (Moody''s,S&amp;P)'!A78</f>
        <v>Kenya</v>
      </c>
      <c r="B78" s="119">
        <f>VLOOKUP(A78,'Country GDP'!$A$2:$B$181,2,FALSE)</f>
        <v>120339.55790593175</v>
      </c>
      <c r="C78" s="9" t="str">
        <f>VLOOKUP(A78,'Sovereign Ratings (Moody''s,S&amp;P)'!$A$2:$D$158,4,FALSE)</f>
        <v>B3</v>
      </c>
      <c r="D78" s="11">
        <f>VLOOKUP(A78,'10-year CDS Spreads'!$A$2:$C$158,3,FALSE)</f>
        <v>5.9799999999999999E-2</v>
      </c>
      <c r="E78" s="21">
        <f>VLOOKUP(A78,'ERPs by country'!$A$9:$F$165,4,FALSE)</f>
        <v>6.1849989354559008E-2</v>
      </c>
      <c r="F78" s="10">
        <f>VLOOKUP(A78,'ERPs by country'!$A$9:$F$165,5,FALSE)</f>
        <v>0.14260141204291102</v>
      </c>
      <c r="G78" s="14">
        <f>VLOOKUP(A78,'ERPs by country'!$A$9:$F$165,6,FALSE)</f>
        <v>9.4901412042911026E-2</v>
      </c>
      <c r="H78" s="14">
        <f>VLOOKUP(A78,'Country Tax Rates'!$A$2:$B$159,2,FALSE)</f>
        <v>0.3</v>
      </c>
      <c r="I78" s="15" t="str">
        <f>VLOOKUP(A78,'Regional lookup table'!$A$2:$B$162,2,FALSE)</f>
        <v>Africa</v>
      </c>
    </row>
    <row r="79" spans="1:9" ht="16">
      <c r="A79" s="8" t="str">
        <f>'Sovereign Ratings (Moody''s,S&amp;P)'!A79</f>
        <v>Korea</v>
      </c>
      <c r="B79" s="119">
        <f>VLOOKUP(A79,'Country GDP'!$A$2:$B$181,2,FALSE)</f>
        <v>1875388.2094068029</v>
      </c>
      <c r="C79" s="9" t="str">
        <f>VLOOKUP(A79,'Sovereign Ratings (Moody''s,S&amp;P)'!$A$2:$D$158,4,FALSE)</f>
        <v>Aa2</v>
      </c>
      <c r="D79" s="11">
        <f>VLOOKUP(A79,'10-year CDS Spreads'!$A$2:$C$158,3,FALSE)</f>
        <v>5.0000000000000001E-3</v>
      </c>
      <c r="E79" s="21">
        <f>VLOOKUP(A79,'ERPs by country'!$A$9:$F$165,4,FALSE)</f>
        <v>4.6974675459158736E-3</v>
      </c>
      <c r="F79" s="10">
        <f>VLOOKUP(A79,'ERPs by country'!$A$9:$F$165,5,FALSE)</f>
        <v>5.4907702180474256E-2</v>
      </c>
      <c r="G79" s="14">
        <f>VLOOKUP(A79,'ERPs by country'!$A$9:$F$165,6,FALSE)</f>
        <v>7.2077021804742543E-3</v>
      </c>
      <c r="H79" s="14">
        <f>VLOOKUP(A79,'Country Tax Rates'!$A$2:$B$159,2,FALSE)</f>
        <v>0.26400000000000001</v>
      </c>
      <c r="I79" s="15" t="str">
        <f>VLOOKUP(A79,'Regional lookup table'!$A$2:$B$162,2,FALSE)</f>
        <v>Asia</v>
      </c>
    </row>
    <row r="80" spans="1:9" ht="16">
      <c r="A80" s="8" t="str">
        <f>'Sovereign Ratings (Moody''s,S&amp;P)'!A80</f>
        <v>Kuwait</v>
      </c>
      <c r="B80" s="119">
        <f>VLOOKUP(A80,'Country GDP'!$A$2:$B$181,2,FALSE)</f>
        <v>160227.2730533338</v>
      </c>
      <c r="C80" s="9" t="str">
        <f>VLOOKUP(A80,'Sovereign Ratings (Moody''s,S&amp;P)'!$A$2:$D$158,4,FALSE)</f>
        <v>A1</v>
      </c>
      <c r="D80" s="11">
        <f>VLOOKUP(A80,'10-year CDS Spreads'!$A$2:$C$158,3,FALSE)</f>
        <v>1.03E-2</v>
      </c>
      <c r="E80" s="21">
        <f>VLOOKUP(A80,'ERPs by country'!$A$9:$F$165,4,FALSE)</f>
        <v>6.710667922736965E-3</v>
      </c>
      <c r="F80" s="10">
        <f>VLOOKUP(A80,'ERPs by country'!$A$9:$F$165,5,FALSE)</f>
        <v>5.7996717400677508E-2</v>
      </c>
      <c r="G80" s="14">
        <f>VLOOKUP(A80,'ERPs by country'!$A$9:$F$165,6,FALSE)</f>
        <v>1.0296717400677511E-2</v>
      </c>
      <c r="H80" s="14">
        <f>VLOOKUP(A80,'Country Tax Rates'!$A$2:$B$159,2,FALSE)</f>
        <v>0.15</v>
      </c>
      <c r="I80" s="15" t="str">
        <f>VLOOKUP(A80,'Regional lookup table'!$A$2:$B$162,2,FALSE)</f>
        <v>Middle East</v>
      </c>
    </row>
    <row r="81" spans="1:9" ht="16">
      <c r="A81" s="8" t="str">
        <f>'Sovereign Ratings (Moody''s,S&amp;P)'!A81</f>
        <v>Kyrgyzstan</v>
      </c>
      <c r="B81" s="119">
        <f>VLOOKUP(A81,'Country GDP'!$A$2:$B$181,2,FALSE)</f>
        <v>17478.259659262498</v>
      </c>
      <c r="C81" s="9" t="str">
        <f>VLOOKUP(A81,'Sovereign Ratings (Moody''s,S&amp;P)'!$A$2:$D$158,4,FALSE)</f>
        <v>B3</v>
      </c>
      <c r="D81" s="11" t="str">
        <f>VLOOKUP(A81,'10-year CDS Spreads'!$A$2:$C$158,3,FALSE)</f>
        <v>NA</v>
      </c>
      <c r="E81" s="21">
        <f>VLOOKUP(A81,'ERPs by country'!$A$9:$F$165,4,FALSE)</f>
        <v>6.1849989354559008E-2</v>
      </c>
      <c r="F81" s="10">
        <f>VLOOKUP(A81,'ERPs by country'!$A$9:$F$165,5,FALSE)</f>
        <v>0.14260141204291102</v>
      </c>
      <c r="G81" s="14">
        <f>VLOOKUP(A81,'ERPs by country'!$A$9:$F$165,6,FALSE)</f>
        <v>9.4901412042911026E-2</v>
      </c>
      <c r="H81" s="14">
        <f>VLOOKUP(A81,'Country Tax Rates'!$A$2:$B$159,2,FALSE)</f>
        <v>0.1</v>
      </c>
      <c r="I81" s="15" t="str">
        <f>VLOOKUP(A81,'Regional lookup table'!$A$2:$B$162,2,FALSE)</f>
        <v>Eastern Europe &amp; Russia</v>
      </c>
    </row>
    <row r="82" spans="1:9" ht="16">
      <c r="A82" s="8" t="str">
        <f>'Sovereign Ratings (Moody''s,S&amp;P)'!A82</f>
        <v>Laos</v>
      </c>
      <c r="B82" s="119">
        <f>VLOOKUP(A82,'Country GDP'!$A$2:$B$181,2,FALSE)</f>
        <v>16502.933121337941</v>
      </c>
      <c r="C82" s="9" t="str">
        <f>VLOOKUP(A82,'Sovereign Ratings (Moody''s,S&amp;P)'!$A$2:$D$158,4,FALSE)</f>
        <v>Caa2</v>
      </c>
      <c r="D82" s="11" t="str">
        <f>VLOOKUP(A82,'10-year CDS Spreads'!$A$2:$C$158,3,FALSE)</f>
        <v>NA</v>
      </c>
      <c r="E82" s="21">
        <f>VLOOKUP(A82,'ERPs by country'!$A$9:$F$165,4,FALSE)</f>
        <v>8.5672860480275226E-2</v>
      </c>
      <c r="F82" s="10">
        <f>VLOOKUP(A82,'ERPs by country'!$A$9:$F$165,5,FALSE)</f>
        <v>0.17915475881531617</v>
      </c>
      <c r="G82" s="14">
        <f>VLOOKUP(A82,'ERPs by country'!$A$9:$F$165,6,FALSE)</f>
        <v>0.13145475881531618</v>
      </c>
      <c r="H82" s="14">
        <f>VLOOKUP(A82,'Country Tax Rates'!$A$2:$B$159,2,FALSE)</f>
        <v>0.2</v>
      </c>
      <c r="I82" s="15" t="str">
        <f>VLOOKUP(A82,'Regional lookup table'!$A$2:$B$162,2,FALSE)</f>
        <v>Asia</v>
      </c>
    </row>
    <row r="83" spans="1:9" ht="16">
      <c r="A83" s="8" t="str">
        <f>'Sovereign Ratings (Moody''s,S&amp;P)'!A83</f>
        <v>Latvia</v>
      </c>
      <c r="B83" s="119">
        <f>VLOOKUP(A83,'Country GDP'!$A$2:$B$181,2,FALSE)</f>
        <v>43684.254432360933</v>
      </c>
      <c r="C83" s="9" t="str">
        <f>VLOOKUP(A83,'Sovereign Ratings (Moody''s,S&amp;P)'!$A$2:$D$158,4,FALSE)</f>
        <v>A3</v>
      </c>
      <c r="D83" s="11">
        <f>VLOOKUP(A83,'10-year CDS Spreads'!$A$2:$C$158,3,FALSE)</f>
        <v>8.3000000000000001E-3</v>
      </c>
      <c r="E83" s="21">
        <f>VLOOKUP(A83,'ERPs by country'!$A$9:$F$165,4,FALSE)</f>
        <v>1.1408135468652839E-2</v>
      </c>
      <c r="F83" s="10">
        <f>VLOOKUP(A83,'ERPs by country'!$A$9:$F$165,5,FALSE)</f>
        <v>6.5204419581151765E-2</v>
      </c>
      <c r="G83" s="14">
        <f>VLOOKUP(A83,'ERPs by country'!$A$9:$F$165,6,FALSE)</f>
        <v>1.7504419581151766E-2</v>
      </c>
      <c r="H83" s="14">
        <f>VLOOKUP(A83,'Country Tax Rates'!$A$2:$B$159,2,FALSE)</f>
        <v>0.2</v>
      </c>
      <c r="I83" s="15" t="str">
        <f>VLOOKUP(A83,'Regional lookup table'!$A$2:$B$162,2,FALSE)</f>
        <v>Eastern Europe &amp; Russia</v>
      </c>
    </row>
    <row r="84" spans="1:9" ht="16">
      <c r="A84" s="8" t="str">
        <f>'Sovereign Ratings (Moody''s,S&amp;P)'!A84</f>
        <v>Lebanon</v>
      </c>
      <c r="B84" s="119">
        <f>VLOOKUP(A84,'Country GDP'!$A$2:$B$181,2,FALSE)</f>
        <v>20078.620357</v>
      </c>
      <c r="C84" s="9" t="str">
        <f>VLOOKUP(A84,'Sovereign Ratings (Moody''s,S&amp;P)'!$A$2:$D$158,4,FALSE)</f>
        <v>C</v>
      </c>
      <c r="D84" s="11" t="str">
        <f>VLOOKUP(A84,'10-year CDS Spreads'!$A$2:$C$158,3,FALSE)</f>
        <v>NA</v>
      </c>
      <c r="E84" s="21">
        <f>VLOOKUP(A84,'ERPs by country'!$A$9:$F$165,4,FALSE)</f>
        <v>0.17499999999999999</v>
      </c>
      <c r="F84" s="10">
        <f>VLOOKUP(A84,'ERPs by country'!$A$9:$F$165,5,FALSE)</f>
        <v>0.31621657180253437</v>
      </c>
      <c r="G84" s="14">
        <f>VLOOKUP(A84,'ERPs by country'!$A$9:$F$165,6,FALSE)</f>
        <v>0.26851657180253435</v>
      </c>
      <c r="H84" s="14">
        <f>VLOOKUP(A84,'Country Tax Rates'!$A$2:$B$159,2,FALSE)</f>
        <v>0.17</v>
      </c>
      <c r="I84" s="15" t="str">
        <f>VLOOKUP(A84,'Regional lookup table'!$A$2:$B$162,2,FALSE)</f>
        <v>Middle East</v>
      </c>
    </row>
    <row r="85" spans="1:9" ht="16">
      <c r="A85" s="8" t="str">
        <f>'Sovereign Ratings (Moody''s,S&amp;P)'!A85</f>
        <v>Liechtenstein</v>
      </c>
      <c r="B85" s="119">
        <f>VLOOKUP(A85,'Country GDP'!$A$2:$B$181,2,FALSE)</f>
        <v>8239.3794030000008</v>
      </c>
      <c r="C85" s="9" t="str">
        <f>VLOOKUP(A85,'Sovereign Ratings (Moody''s,S&amp;P)'!$A$2:$D$158,4,FALSE)</f>
        <v>Aaa</v>
      </c>
      <c r="D85" s="11" t="str">
        <f>VLOOKUP(A85,'10-year CDS Spreads'!$A$2:$C$158,3,FALSE)</f>
        <v>NA</v>
      </c>
      <c r="E85" s="21">
        <f>VLOOKUP(A85,'ERPs by country'!$A$9:$F$165,4,FALSE)</f>
        <v>0</v>
      </c>
      <c r="F85" s="10">
        <f>VLOOKUP(A85,'ERPs by country'!$A$9:$F$165,5,FALSE)</f>
        <v>4.7699999999999999E-2</v>
      </c>
      <c r="G85" s="14">
        <f>VLOOKUP(A85,'ERPs by country'!$A$9:$F$165,6,FALSE)</f>
        <v>0</v>
      </c>
      <c r="H85" s="14">
        <f>VLOOKUP(A85,'Country Tax Rates'!$A$2:$B$159,2,FALSE)</f>
        <v>0.125</v>
      </c>
      <c r="I85" s="15" t="str">
        <f>VLOOKUP(A85,'Regional lookup table'!$A$2:$B$162,2,FALSE)</f>
        <v>Western Europe</v>
      </c>
    </row>
    <row r="86" spans="1:9" ht="16">
      <c r="A86" s="8" t="str">
        <f>'Sovereign Ratings (Moody''s,S&amp;P)'!A86</f>
        <v>Lithuania</v>
      </c>
      <c r="B86" s="119">
        <f>VLOOKUP(A86,'Country GDP'!$A$2:$B$181,2,FALSE)</f>
        <v>84869.215513364819</v>
      </c>
      <c r="C86" s="9" t="str">
        <f>VLOOKUP(A86,'Sovereign Ratings (Moody''s,S&amp;P)'!$A$2:$D$158,4,FALSE)</f>
        <v>A2</v>
      </c>
      <c r="D86" s="11">
        <f>VLOOKUP(A86,'10-year CDS Spreads'!$A$2:$C$158,3,FALSE)</f>
        <v>8.2000000000000007E-3</v>
      </c>
      <c r="E86" s="21">
        <f>VLOOKUP(A86,'ERPs by country'!$A$9:$F$165,4,FALSE)</f>
        <v>8.0528015072843552E-3</v>
      </c>
      <c r="F86" s="10">
        <f>VLOOKUP(A86,'ERPs by country'!$A$9:$F$165,5,FALSE)</f>
        <v>6.0056060880813007E-2</v>
      </c>
      <c r="G86" s="14">
        <f>VLOOKUP(A86,'ERPs by country'!$A$9:$F$165,6,FALSE)</f>
        <v>1.2356060880813008E-2</v>
      </c>
      <c r="H86" s="14">
        <f>VLOOKUP(A86,'Country Tax Rates'!$A$2:$B$159,2,FALSE)</f>
        <v>0.15</v>
      </c>
      <c r="I86" s="15" t="str">
        <f>VLOOKUP(A86,'Regional lookup table'!$A$2:$B$162,2,FALSE)</f>
        <v>Eastern Europe &amp; Russia</v>
      </c>
    </row>
    <row r="87" spans="1:9" ht="16">
      <c r="A87" s="8" t="str">
        <f>'Sovereign Ratings (Moody''s,S&amp;P)'!A87</f>
        <v>Luxembourg</v>
      </c>
      <c r="B87" s="119">
        <f>VLOOKUP(A87,'Country GDP'!$A$2:$B$181,2,FALSE)</f>
        <v>93279.851863406235</v>
      </c>
      <c r="C87" s="9" t="str">
        <f>VLOOKUP(A87,'Sovereign Ratings (Moody''s,S&amp;P)'!$A$2:$D$158,4,FALSE)</f>
        <v>Aaa</v>
      </c>
      <c r="D87" s="11" t="str">
        <f>VLOOKUP(A87,'10-year CDS Spreads'!$A$2:$C$158,3,FALSE)</f>
        <v>NA</v>
      </c>
      <c r="E87" s="21">
        <f>VLOOKUP(A87,'ERPs by country'!$A$9:$F$165,4,FALSE)</f>
        <v>0</v>
      </c>
      <c r="F87" s="10">
        <f>VLOOKUP(A87,'ERPs by country'!$A$9:$F$165,5,FALSE)</f>
        <v>4.7699999999999999E-2</v>
      </c>
      <c r="G87" s="14">
        <f>VLOOKUP(A87,'ERPs by country'!$A$9:$F$165,6,FALSE)</f>
        <v>0</v>
      </c>
      <c r="H87" s="14">
        <f>VLOOKUP(A87,'Country Tax Rates'!$A$2:$B$159,2,FALSE)</f>
        <v>0.24940000000000001</v>
      </c>
      <c r="I87" s="15" t="str">
        <f>VLOOKUP(A87,'Regional lookup table'!$A$2:$B$162,2,FALSE)</f>
        <v>Western Europe</v>
      </c>
    </row>
    <row r="88" spans="1:9" ht="16">
      <c r="A88" s="8" t="str">
        <f>'Sovereign Ratings (Moody''s,S&amp;P)'!A88</f>
        <v>Macao</v>
      </c>
      <c r="B88" s="119">
        <f>VLOOKUP(A88,'Country GDP'!$A$2:$B$181,2,FALSE)</f>
        <v>49467.258923324385</v>
      </c>
      <c r="C88" s="9" t="str">
        <f>VLOOKUP(A88,'Sovereign Ratings (Moody''s,S&amp;P)'!$A$2:$D$158,4,FALSE)</f>
        <v>Aa3</v>
      </c>
      <c r="D88" s="11" t="str">
        <f>VLOOKUP(A88,'10-year CDS Spreads'!$A$2:$C$158,3,FALSE)</f>
        <v>NA</v>
      </c>
      <c r="E88" s="21">
        <f>VLOOKUP(A88,'ERPs by country'!$A$9:$F$165,4,FALSE)</f>
        <v>5.7040677343264193E-3</v>
      </c>
      <c r="F88" s="10">
        <f>VLOOKUP(A88,'ERPs by country'!$A$9:$F$165,5,FALSE)</f>
        <v>5.6452209790575886E-2</v>
      </c>
      <c r="G88" s="14">
        <f>VLOOKUP(A88,'ERPs by country'!$A$9:$F$165,6,FALSE)</f>
        <v>8.7522097905758829E-3</v>
      </c>
      <c r="H88" s="14">
        <f>VLOOKUP(A88,'Country Tax Rates'!$A$2:$B$159,2,FALSE)</f>
        <v>0.25</v>
      </c>
      <c r="I88" s="15" t="str">
        <f>VLOOKUP(A88,'Regional lookup table'!$A$2:$B$162,2,FALSE)</f>
        <v>Asia</v>
      </c>
    </row>
    <row r="89" spans="1:9" ht="16">
      <c r="A89" s="8" t="str">
        <f>'Sovereign Ratings (Moody''s,S&amp;P)'!A89</f>
        <v>Macedonia</v>
      </c>
      <c r="B89" s="119">
        <f>VLOOKUP(A89,'Country GDP'!$A$2:$B$181,2,FALSE)</f>
        <v>16951.682245420201</v>
      </c>
      <c r="C89" s="9" t="str">
        <f>VLOOKUP(A89,'Sovereign Ratings (Moody''s,S&amp;P)'!$A$2:$D$158,4,FALSE)</f>
        <v>Ba3</v>
      </c>
      <c r="D89" s="11" t="str">
        <f>VLOOKUP(A89,'10-year CDS Spreads'!$A$2:$C$158,3,FALSE)</f>
        <v>NA</v>
      </c>
      <c r="E89" s="21">
        <f>VLOOKUP(A89,'ERPs by country'!$A$9:$F$165,4,FALSE)</f>
        <v>3.4224406405958516E-2</v>
      </c>
      <c r="F89" s="10">
        <f>VLOOKUP(A89,'ERPs by country'!$A$9:$F$165,5,FALSE)</f>
        <v>0.1002132587434553</v>
      </c>
      <c r="G89" s="14">
        <f>VLOOKUP(A89,'ERPs by country'!$A$9:$F$165,6,FALSE)</f>
        <v>5.2513258743455297E-2</v>
      </c>
      <c r="H89" s="14">
        <f>VLOOKUP(A89,'Country Tax Rates'!$A$2:$B$159,2,FALSE)</f>
        <v>0.1</v>
      </c>
      <c r="I89" s="15" t="str">
        <f>VLOOKUP(A89,'Regional lookup table'!$A$2:$B$162,2,FALSE)</f>
        <v>Eastern Europe &amp; Russia</v>
      </c>
    </row>
    <row r="90" spans="1:9" ht="16">
      <c r="A90" s="8" t="str">
        <f>'Sovereign Ratings (Moody''s,S&amp;P)'!A90</f>
        <v>Malaysia</v>
      </c>
      <c r="B90" s="119">
        <f>VLOOKUP(A90,'Country GDP'!$A$2:$B$181,2,FALSE)</f>
        <v>422227.00542868808</v>
      </c>
      <c r="C90" s="9" t="str">
        <f>VLOOKUP(A90,'Sovereign Ratings (Moody''s,S&amp;P)'!$A$2:$D$158,4,FALSE)</f>
        <v>A3</v>
      </c>
      <c r="D90" s="11">
        <f>VLOOKUP(A90,'10-year CDS Spreads'!$A$2:$C$158,3,FALSE)</f>
        <v>7.7999999999999996E-3</v>
      </c>
      <c r="E90" s="21">
        <f>VLOOKUP(A90,'ERPs by country'!$A$9:$F$165,4,FALSE)</f>
        <v>1.1408135468652839E-2</v>
      </c>
      <c r="F90" s="10">
        <f>VLOOKUP(A90,'ERPs by country'!$A$9:$F$165,5,FALSE)</f>
        <v>6.5204419581151765E-2</v>
      </c>
      <c r="G90" s="14">
        <f>VLOOKUP(A90,'ERPs by country'!$A$9:$F$165,6,FALSE)</f>
        <v>1.7504419581151766E-2</v>
      </c>
      <c r="H90" s="14">
        <f>VLOOKUP(A90,'Country Tax Rates'!$A$2:$B$159,2,FALSE)</f>
        <v>0.24</v>
      </c>
      <c r="I90" s="15" t="str">
        <f>VLOOKUP(A90,'Regional lookup table'!$A$2:$B$162,2,FALSE)</f>
        <v>Asia</v>
      </c>
    </row>
    <row r="91" spans="1:9" ht="16">
      <c r="A91" s="8" t="str">
        <f>'Sovereign Ratings (Moody''s,S&amp;P)'!A91</f>
        <v>Maldives</v>
      </c>
      <c r="B91" s="119">
        <f>VLOOKUP(A91,'Country GDP'!$A$2:$B$181,2,FALSE)</f>
        <v>7061.6082672545081</v>
      </c>
      <c r="C91" s="9" t="str">
        <f>VLOOKUP(A91,'Sovereign Ratings (Moody''s,S&amp;P)'!$A$2:$D$158,4,FALSE)</f>
        <v>Caa2</v>
      </c>
      <c r="D91" s="11" t="str">
        <f>VLOOKUP(A91,'10-year CDS Spreads'!$A$2:$C$158,3,FALSE)</f>
        <v>NA</v>
      </c>
      <c r="E91" s="21">
        <f>VLOOKUP(A91,'ERPs by country'!$A$9:$F$165,4,FALSE)</f>
        <v>8.5672860480275226E-2</v>
      </c>
      <c r="F91" s="10">
        <f>VLOOKUP(A91,'ERPs by country'!$A$9:$F$165,5,FALSE)</f>
        <v>0.17915475881531617</v>
      </c>
      <c r="G91" s="14">
        <f>VLOOKUP(A91,'ERPs by country'!$A$9:$F$165,6,FALSE)</f>
        <v>0.13145475881531618</v>
      </c>
      <c r="H91" s="14">
        <f>VLOOKUP(A91,'Country Tax Rates'!$A$2:$B$159,2,FALSE)</f>
        <v>0.15</v>
      </c>
      <c r="I91" s="15" t="str">
        <f>VLOOKUP(A91,'Regional lookup table'!$A$2:$B$162,2,FALSE)</f>
        <v>Asia</v>
      </c>
    </row>
    <row r="92" spans="1:9" ht="16">
      <c r="A92" s="8" t="str">
        <f>'Sovereign Ratings (Moody''s,S&amp;P)'!A92</f>
        <v>Mali</v>
      </c>
      <c r="B92" s="119">
        <f>VLOOKUP(A92,'Country GDP'!$A$2:$B$181,2,FALSE)</f>
        <v>26794.747239880471</v>
      </c>
      <c r="C92" s="9" t="str">
        <f>VLOOKUP(A92,'Sovereign Ratings (Moody''s,S&amp;P)'!$A$2:$D$158,4,FALSE)</f>
        <v>Caa2</v>
      </c>
      <c r="D92" s="11" t="str">
        <f>VLOOKUP(A92,'10-year CDS Spreads'!$A$2:$C$158,3,FALSE)</f>
        <v>NA</v>
      </c>
      <c r="E92" s="21">
        <f>VLOOKUP(A92,'ERPs by country'!$A$9:$F$165,4,FALSE)</f>
        <v>8.5672860480275226E-2</v>
      </c>
      <c r="F92" s="10">
        <f>VLOOKUP(A92,'ERPs by country'!$A$9:$F$165,5,FALSE)</f>
        <v>0.17915475881531617</v>
      </c>
      <c r="G92" s="14">
        <f>VLOOKUP(A92,'ERPs by country'!$A$9:$F$165,6,FALSE)</f>
        <v>0.13145475881531618</v>
      </c>
      <c r="H92" s="14">
        <f>VLOOKUP(A92,'Country Tax Rates'!$A$2:$B$159,2,FALSE)</f>
        <v>0.3</v>
      </c>
      <c r="I92" s="15" t="str">
        <f>VLOOKUP(A92,'Regional lookup table'!$A$2:$B$162,2,FALSE)</f>
        <v>Africa</v>
      </c>
    </row>
    <row r="93" spans="1:9" ht="16">
      <c r="A93" s="8" t="str">
        <f>'Sovereign Ratings (Moody''s,S&amp;P)'!A93</f>
        <v>Malta</v>
      </c>
      <c r="B93" s="119">
        <f>VLOOKUP(A93,'Country GDP'!$A$2:$B$181,2,FALSE)</f>
        <v>24971.574502447478</v>
      </c>
      <c r="C93" s="9" t="str">
        <f>VLOOKUP(A93,'Sovereign Ratings (Moody''s,S&amp;P)'!$A$2:$D$158,4,FALSE)</f>
        <v>A2</v>
      </c>
      <c r="D93" s="11" t="str">
        <f>VLOOKUP(A93,'10-year CDS Spreads'!$A$2:$C$158,3,FALSE)</f>
        <v>NA</v>
      </c>
      <c r="E93" s="21">
        <f>VLOOKUP(A93,'ERPs by country'!$A$9:$F$165,4,FALSE)</f>
        <v>8.0528015072843552E-3</v>
      </c>
      <c r="F93" s="10">
        <f>VLOOKUP(A93,'ERPs by country'!$A$9:$F$165,5,FALSE)</f>
        <v>6.0056060880813007E-2</v>
      </c>
      <c r="G93" s="14">
        <f>VLOOKUP(A93,'ERPs by country'!$A$9:$F$165,6,FALSE)</f>
        <v>1.2356060880813008E-2</v>
      </c>
      <c r="H93" s="14">
        <f>VLOOKUP(A93,'Country Tax Rates'!$A$2:$B$159,2,FALSE)</f>
        <v>0.35</v>
      </c>
      <c r="I93" s="15" t="str">
        <f>VLOOKUP(A93,'Regional lookup table'!$A$2:$B$162,2,FALSE)</f>
        <v>Western Europe</v>
      </c>
    </row>
    <row r="94" spans="1:9" ht="16">
      <c r="A94" s="8" t="str">
        <f>'Sovereign Ratings (Moody''s,S&amp;P)'!A94</f>
        <v>Mauritius</v>
      </c>
      <c r="B94" s="119">
        <f>VLOOKUP(A94,'Country GDP'!$A$2:$B$181,2,FALSE)</f>
        <v>14937.861786169999</v>
      </c>
      <c r="C94" s="9" t="str">
        <f>VLOOKUP(A94,'Sovereign Ratings (Moody''s,S&amp;P)'!$A$2:$D$158,4,FALSE)</f>
        <v>Baa3</v>
      </c>
      <c r="D94" s="11" t="str">
        <f>VLOOKUP(A94,'10-year CDS Spreads'!$A$2:$C$158,3,FALSE)</f>
        <v>NA</v>
      </c>
      <c r="E94" s="21">
        <f>VLOOKUP(A94,'ERPs by country'!$A$9:$F$165,4,FALSE)</f>
        <v>2.091491502586354E-2</v>
      </c>
      <c r="F94" s="10">
        <f>VLOOKUP(A94,'ERPs by country'!$A$9:$F$165,5,FALSE)</f>
        <v>7.979143589877824E-2</v>
      </c>
      <c r="G94" s="14">
        <f>VLOOKUP(A94,'ERPs by country'!$A$9:$F$165,6,FALSE)</f>
        <v>3.2091435898778241E-2</v>
      </c>
      <c r="H94" s="14">
        <f>VLOOKUP(A94,'Country Tax Rates'!$A$2:$B$159,2,FALSE)</f>
        <v>0.15</v>
      </c>
      <c r="I94" s="15" t="str">
        <f>VLOOKUP(A94,'Regional lookup table'!$A$2:$B$162,2,FALSE)</f>
        <v>Africa</v>
      </c>
    </row>
    <row r="95" spans="1:9" ht="16">
      <c r="A95" s="8" t="str">
        <f>'Sovereign Ratings (Moody''s,S&amp;P)'!A95</f>
        <v>Mexico</v>
      </c>
      <c r="B95" s="119">
        <f>VLOOKUP(A95,'Country GDP'!$A$2:$B$181,2,FALSE)</f>
        <v>1856365.6161659381</v>
      </c>
      <c r="C95" s="9" t="str">
        <f>VLOOKUP(A95,'Sovereign Ratings (Moody''s,S&amp;P)'!$A$2:$D$158,4,FALSE)</f>
        <v>Baa2</v>
      </c>
      <c r="D95" s="11">
        <f>VLOOKUP(A95,'10-year CDS Spreads'!$A$2:$C$158,3,FALSE)</f>
        <v>1.8599999999999998E-2</v>
      </c>
      <c r="E95" s="21">
        <f>VLOOKUP(A95,'ERPs by country'!$A$9:$F$165,4,FALSE)</f>
        <v>1.8118803391389805E-2</v>
      </c>
      <c r="F95" s="10">
        <f>VLOOKUP(A95,'ERPs by country'!$A$9:$F$165,5,FALSE)</f>
        <v>7.5501136981829281E-2</v>
      </c>
      <c r="G95" s="14">
        <f>VLOOKUP(A95,'ERPs by country'!$A$9:$F$165,6,FALSE)</f>
        <v>2.7801136981829278E-2</v>
      </c>
      <c r="H95" s="14">
        <f>VLOOKUP(A95,'Country Tax Rates'!$A$2:$B$159,2,FALSE)</f>
        <v>0.3</v>
      </c>
      <c r="I95" s="15" t="str">
        <f>VLOOKUP(A95,'Regional lookup table'!$A$2:$B$162,2,FALSE)</f>
        <v>Central and South America</v>
      </c>
    </row>
    <row r="96" spans="1:9" ht="16">
      <c r="A96" s="8" t="str">
        <f>'Sovereign Ratings (Moody''s,S&amp;P)'!A96</f>
        <v>Moldova</v>
      </c>
      <c r="B96" s="119">
        <f>VLOOKUP(A96,'Country GDP'!$A$2:$B$181,2,FALSE)</f>
        <v>18200.340853651684</v>
      </c>
      <c r="C96" s="9" t="str">
        <f>VLOOKUP(A96,'Sovereign Ratings (Moody''s,S&amp;P)'!$A$2:$D$158,4,FALSE)</f>
        <v>B3</v>
      </c>
      <c r="D96" s="11" t="str">
        <f>VLOOKUP(A96,'10-year CDS Spreads'!$A$2:$C$158,3,FALSE)</f>
        <v>NA</v>
      </c>
      <c r="E96" s="21">
        <f>VLOOKUP(A96,'ERPs by country'!$A$9:$F$165,4,FALSE)</f>
        <v>6.1849989354559008E-2</v>
      </c>
      <c r="F96" s="10">
        <f>VLOOKUP(A96,'ERPs by country'!$A$9:$F$165,5,FALSE)</f>
        <v>0.14260141204291102</v>
      </c>
      <c r="G96" s="14">
        <f>VLOOKUP(A96,'ERPs by country'!$A$9:$F$165,6,FALSE)</f>
        <v>9.4901412042911026E-2</v>
      </c>
      <c r="H96" s="14">
        <f>VLOOKUP(A96,'Country Tax Rates'!$A$2:$B$159,2,FALSE)</f>
        <v>0.12</v>
      </c>
      <c r="I96" s="15" t="str">
        <f>VLOOKUP(A96,'Regional lookup table'!$A$2:$B$162,2,FALSE)</f>
        <v>Eastern Europe &amp; Russia</v>
      </c>
    </row>
    <row r="97" spans="1:9" ht="16">
      <c r="A97" s="8" t="str">
        <f>'Sovereign Ratings (Moody''s,S&amp;P)'!A97</f>
        <v>Mongolia</v>
      </c>
      <c r="B97" s="119">
        <f>VLOOKUP(A97,'Country GDP'!$A$2:$B$181,2,FALSE)</f>
        <v>23794.540024513171</v>
      </c>
      <c r="C97" s="9" t="str">
        <f>VLOOKUP(A97,'Sovereign Ratings (Moody''s,S&amp;P)'!$A$2:$D$158,4,FALSE)</f>
        <v>B1</v>
      </c>
      <c r="D97" s="11" t="str">
        <f>VLOOKUP(A97,'10-year CDS Spreads'!$A$2:$C$158,3,FALSE)</f>
        <v>NA</v>
      </c>
      <c r="E97" s="21">
        <f>VLOOKUP(A97,'ERPs by country'!$A$9:$F$165,4,FALSE)</f>
        <v>4.2836430240137613E-2</v>
      </c>
      <c r="F97" s="10">
        <f>VLOOKUP(A97,'ERPs by country'!$A$9:$F$165,5,FALSE)</f>
        <v>0.1134273794076581</v>
      </c>
      <c r="G97" s="14">
        <f>VLOOKUP(A97,'ERPs by country'!$A$9:$F$165,6,FALSE)</f>
        <v>6.572737940765809E-2</v>
      </c>
      <c r="H97" s="14">
        <f>VLOOKUP(A97,'Country Tax Rates'!$A$2:$B$159,2,FALSE)</f>
        <v>0.25</v>
      </c>
      <c r="I97" s="15" t="str">
        <f>VLOOKUP(A97,'Regional lookup table'!$A$2:$B$162,2,FALSE)</f>
        <v>Asia</v>
      </c>
    </row>
    <row r="98" spans="1:9" ht="16">
      <c r="A98" s="8" t="str">
        <f>'Sovereign Ratings (Moody''s,S&amp;P)'!A98</f>
        <v>Montenegro</v>
      </c>
      <c r="B98" s="119">
        <f>VLOOKUP(A98,'Country GDP'!$A$2:$B$181,2,FALSE)</f>
        <v>8270.0166708677389</v>
      </c>
      <c r="C98" s="9" t="str">
        <f>VLOOKUP(A98,'Sovereign Ratings (Moody''s,S&amp;P)'!$A$2:$D$158,4,FALSE)</f>
        <v>B1</v>
      </c>
      <c r="D98" s="11" t="str">
        <f>VLOOKUP(A98,'10-year CDS Spreads'!$A$2:$C$158,3,FALSE)</f>
        <v>NA</v>
      </c>
      <c r="E98" s="21">
        <f>VLOOKUP(A98,'ERPs by country'!$A$9:$F$165,4,FALSE)</f>
        <v>4.2836430240137613E-2</v>
      </c>
      <c r="F98" s="10">
        <f>VLOOKUP(A98,'ERPs by country'!$A$9:$F$165,5,FALSE)</f>
        <v>0.1134273794076581</v>
      </c>
      <c r="G98" s="14">
        <f>VLOOKUP(A98,'ERPs by country'!$A$9:$F$165,6,FALSE)</f>
        <v>6.572737940765809E-2</v>
      </c>
      <c r="H98" s="14">
        <f>VLOOKUP(A98,'Country Tax Rates'!$A$2:$B$159,2,FALSE)</f>
        <v>0.15</v>
      </c>
      <c r="I98" s="15" t="str">
        <f>VLOOKUP(A98,'Regional lookup table'!$A$2:$B$162,2,FALSE)</f>
        <v>Eastern Europe &amp; Russia</v>
      </c>
    </row>
    <row r="99" spans="1:9" ht="16">
      <c r="A99" s="8" t="str">
        <f>'Sovereign Ratings (Moody''s,S&amp;P)'!A99</f>
        <v>Montserrat</v>
      </c>
      <c r="B99" s="119">
        <f>VLOOKUP(A99,'Country GDP'!$A$2:$B$181,2,FALSE)</f>
        <v>16199</v>
      </c>
      <c r="C99" s="9" t="str">
        <f>VLOOKUP(A99,'Sovereign Ratings (Moody''s,S&amp;P)'!$A$2:$D$158,4,FALSE)</f>
        <v>Baa3</v>
      </c>
      <c r="D99" s="11" t="str">
        <f>VLOOKUP(A99,'10-year CDS Spreads'!$A$2:$C$158,3,FALSE)</f>
        <v>NA</v>
      </c>
      <c r="E99" s="21">
        <f>VLOOKUP(A99,'ERPs by country'!$A$9:$F$165,4,FALSE)</f>
        <v>2.091491502586354E-2</v>
      </c>
      <c r="F99" s="10">
        <f>VLOOKUP(A99,'ERPs by country'!$A$9:$F$165,5,FALSE)</f>
        <v>7.979143589877824E-2</v>
      </c>
      <c r="G99" s="14">
        <f>VLOOKUP(A99,'ERPs by country'!$A$9:$F$165,6,FALSE)</f>
        <v>3.2091435898778241E-2</v>
      </c>
      <c r="H99" s="14">
        <f>VLOOKUP(A99,'Country Tax Rates'!$A$2:$B$159,2,FALSE)</f>
        <v>0.3</v>
      </c>
      <c r="I99" s="15" t="str">
        <f>VLOOKUP(A99,'Regional lookup table'!$A$2:$B$162,2,FALSE)</f>
        <v>Caribbean</v>
      </c>
    </row>
    <row r="100" spans="1:9" ht="16">
      <c r="A100" s="8" t="str">
        <f>'Sovereign Ratings (Moody''s,S&amp;P)'!A100</f>
        <v>Morocco</v>
      </c>
      <c r="B100" s="119">
        <f>VLOOKUP(A100,'Country GDP'!$A$2:$B$181,2,FALSE)</f>
        <v>160610.9940547341</v>
      </c>
      <c r="C100" s="9" t="str">
        <f>VLOOKUP(A100,'Sovereign Ratings (Moody''s,S&amp;P)'!$A$2:$D$158,4,FALSE)</f>
        <v>Ba1</v>
      </c>
      <c r="D100" s="11">
        <f>VLOOKUP(A100,'10-year CDS Spreads'!$A$2:$C$158,3,FALSE)</f>
        <v>1.6E-2</v>
      </c>
      <c r="E100" s="21">
        <f>VLOOKUP(A100,'ERPs by country'!$A$9:$F$165,4,FALSE)</f>
        <v>2.3822871125716225E-2</v>
      </c>
      <c r="F100" s="10">
        <f>VLOOKUP(A100,'ERPs by country'!$A$9:$F$165,5,FALSE)</f>
        <v>8.425334677240516E-2</v>
      </c>
      <c r="G100" s="14">
        <f>VLOOKUP(A100,'ERPs by country'!$A$9:$F$165,6,FALSE)</f>
        <v>3.6553346772405161E-2</v>
      </c>
      <c r="H100" s="14">
        <f>VLOOKUP(A100,'Country Tax Rates'!$A$2:$B$159,2,FALSE)</f>
        <v>0.33</v>
      </c>
      <c r="I100" s="15" t="str">
        <f>VLOOKUP(A100,'Regional lookup table'!$A$2:$B$162,2,FALSE)</f>
        <v>Africa</v>
      </c>
    </row>
    <row r="101" spans="1:9" ht="16">
      <c r="A101" s="8" t="str">
        <f>'Sovereign Ratings (Moody''s,S&amp;P)'!A101</f>
        <v>Mozambique</v>
      </c>
      <c r="B101" s="119">
        <f>VLOOKUP(A101,'Country GDP'!$A$2:$B$181,2,FALSE)</f>
        <v>22745.341305062204</v>
      </c>
      <c r="C101" s="9" t="str">
        <f>VLOOKUP(A101,'Sovereign Ratings (Moody''s,S&amp;P)'!$A$2:$D$158,4,FALSE)</f>
        <v>Caa3</v>
      </c>
      <c r="D101" s="11" t="str">
        <f>VLOOKUP(A101,'10-year CDS Spreads'!$A$2:$C$158,3,FALSE)</f>
        <v>NA</v>
      </c>
      <c r="E101" s="21">
        <f>VLOOKUP(A101,'ERPs by country'!$A$9:$F$165,4,FALSE)</f>
        <v>9.5179640037485941E-2</v>
      </c>
      <c r="F101" s="10">
        <f>VLOOKUP(A101,'ERPs by country'!$A$9:$F$165,5,FALSE)</f>
        <v>0.19374177513294266</v>
      </c>
      <c r="G101" s="14">
        <f>VLOOKUP(A101,'ERPs by country'!$A$9:$F$165,6,FALSE)</f>
        <v>0.14604177513294267</v>
      </c>
      <c r="H101" s="14">
        <f>VLOOKUP(A101,'Country Tax Rates'!$A$2:$B$159,2,FALSE)</f>
        <v>0.32</v>
      </c>
      <c r="I101" s="15" t="str">
        <f>VLOOKUP(A101,'Regional lookup table'!$A$2:$B$162,2,FALSE)</f>
        <v>Africa</v>
      </c>
    </row>
    <row r="102" spans="1:9" ht="16">
      <c r="A102" s="8" t="str">
        <f>'Sovereign Ratings (Moody''s,S&amp;P)'!A102</f>
        <v>Namibia</v>
      </c>
      <c r="B102" s="119">
        <f>VLOOKUP(A102,'Country GDP'!$A$2:$B$181,2,FALSE)</f>
        <v>13372.354511716025</v>
      </c>
      <c r="C102" s="9" t="str">
        <f>VLOOKUP(A102,'Sovereign Ratings (Moody''s,S&amp;P)'!$A$2:$D$158,4,FALSE)</f>
        <v>B1</v>
      </c>
      <c r="D102" s="11" t="str">
        <f>VLOOKUP(A102,'10-year CDS Spreads'!$A$2:$C$158,3,FALSE)</f>
        <v>NA</v>
      </c>
      <c r="E102" s="21">
        <f>VLOOKUP(A102,'ERPs by country'!$A$9:$F$165,4,FALSE)</f>
        <v>4.2836430240137613E-2</v>
      </c>
      <c r="F102" s="10">
        <f>VLOOKUP(A102,'ERPs by country'!$A$9:$F$165,5,FALSE)</f>
        <v>0.1134273794076581</v>
      </c>
      <c r="G102" s="14">
        <f>VLOOKUP(A102,'ERPs by country'!$A$9:$F$165,6,FALSE)</f>
        <v>6.572737940765809E-2</v>
      </c>
      <c r="H102" s="14">
        <f>VLOOKUP(A102,'Country Tax Rates'!$A$2:$B$159,2,FALSE)</f>
        <v>0.32</v>
      </c>
      <c r="I102" s="15" t="str">
        <f>VLOOKUP(A102,'Regional lookup table'!$A$2:$B$162,2,FALSE)</f>
        <v>Africa</v>
      </c>
    </row>
    <row r="103" spans="1:9" ht="16">
      <c r="A103" s="8" t="str">
        <f>'Sovereign Ratings (Moody''s,S&amp;P)'!A103</f>
        <v>Nepal</v>
      </c>
      <c r="B103" s="119">
        <f>VLOOKUP(A103,'Country GDP'!$A$2:$B$181,2,FALSE)</f>
        <v>42914.268286710925</v>
      </c>
      <c r="C103" s="9" t="str">
        <f>VLOOKUP(A103,'Sovereign Ratings (Moody''s,S&amp;P)'!$A$2:$D$158,4,FALSE)</f>
        <v>Ba3</v>
      </c>
      <c r="D103" s="11" t="str">
        <f>VLOOKUP(A103,'10-year CDS Spreads'!$A$2:$C$158,3,FALSE)</f>
        <v>NA</v>
      </c>
      <c r="E103" s="21">
        <f>VLOOKUP(A103,'ERPs by country'!$A$9:$F$165,4,FALSE)</f>
        <v>3.4224406405958516E-2</v>
      </c>
      <c r="F103" s="10">
        <f>VLOOKUP(A103,'ERPs by country'!$A$9:$F$165,5,FALSE)</f>
        <v>0.1002132587434553</v>
      </c>
      <c r="G103" s="14">
        <f>VLOOKUP(A103,'ERPs by country'!$A$9:$F$165,6,FALSE)</f>
        <v>5.2513258743455297E-2</v>
      </c>
      <c r="H103" s="14">
        <f>VLOOKUP(A103,'Country Tax Rates'!$A$2:$B$159,2,FALSE)</f>
        <v>0.25</v>
      </c>
      <c r="I103" s="15" t="str">
        <f>VLOOKUP(A103,'Regional lookup table'!$A$2:$B$162,2,FALSE)</f>
        <v>Asia</v>
      </c>
    </row>
    <row r="104" spans="1:9" ht="16">
      <c r="A104" s="8" t="str">
        <f>'Sovereign Ratings (Moody''s,S&amp;P)'!A104</f>
        <v>Netherlands</v>
      </c>
      <c r="B104" s="119">
        <f>VLOOKUP(A104,'Country GDP'!$A$2:$B$181,2,FALSE)</f>
        <v>1214927.6985726559</v>
      </c>
      <c r="C104" s="9" t="str">
        <f>VLOOKUP(A104,'Sovereign Ratings (Moody''s,S&amp;P)'!$A$2:$D$158,4,FALSE)</f>
        <v>Aaa</v>
      </c>
      <c r="D104" s="11">
        <f>VLOOKUP(A104,'10-year CDS Spreads'!$A$2:$C$158,3,FALSE)</f>
        <v>2.0999999999999999E-3</v>
      </c>
      <c r="E104" s="21">
        <f>VLOOKUP(A104,'ERPs by country'!$A$9:$F$165,4,FALSE)</f>
        <v>0</v>
      </c>
      <c r="F104" s="10">
        <f>VLOOKUP(A104,'ERPs by country'!$A$9:$F$165,5,FALSE)</f>
        <v>4.7699999999999999E-2</v>
      </c>
      <c r="G104" s="14">
        <f>VLOOKUP(A104,'ERPs by country'!$A$9:$F$165,6,FALSE)</f>
        <v>0</v>
      </c>
      <c r="H104" s="14">
        <f>VLOOKUP(A104,'Country Tax Rates'!$A$2:$B$159,2,FALSE)</f>
        <v>0.25800000000000001</v>
      </c>
      <c r="I104" s="15" t="str">
        <f>VLOOKUP(A104,'Regional lookup table'!$A$2:$B$162,2,FALSE)</f>
        <v>Western Europe</v>
      </c>
    </row>
    <row r="105" spans="1:9" ht="16">
      <c r="A105" s="8" t="str">
        <f>'Sovereign Ratings (Moody''s,S&amp;P)'!A105</f>
        <v>New Zealand</v>
      </c>
      <c r="B105" s="119">
        <f>VLOOKUP(A105,'Country GDP'!$A$2:$B$181,2,FALSE)</f>
        <v>260172.3850976165</v>
      </c>
      <c r="C105" s="9" t="str">
        <f>VLOOKUP(A105,'Sovereign Ratings (Moody''s,S&amp;P)'!$A$2:$D$158,4,FALSE)</f>
        <v>Aaa</v>
      </c>
      <c r="D105" s="11">
        <f>VLOOKUP(A105,'10-year CDS Spreads'!$A$2:$C$158,3,FALSE)</f>
        <v>2.7000000000000001E-3</v>
      </c>
      <c r="E105" s="21">
        <f>VLOOKUP(A105,'ERPs by country'!$A$9:$F$165,4,FALSE)</f>
        <v>0</v>
      </c>
      <c r="F105" s="10">
        <f>VLOOKUP(A105,'ERPs by country'!$A$9:$F$165,5,FALSE)</f>
        <v>4.7699999999999999E-2</v>
      </c>
      <c r="G105" s="14">
        <f>VLOOKUP(A105,'ERPs by country'!$A$9:$F$165,6,FALSE)</f>
        <v>0</v>
      </c>
      <c r="H105" s="14">
        <f>VLOOKUP(A105,'Country Tax Rates'!$A$2:$B$159,2,FALSE)</f>
        <v>0.28000000000000003</v>
      </c>
      <c r="I105" s="15" t="str">
        <f>VLOOKUP(A105,'Regional lookup table'!$A$2:$B$162,2,FALSE)</f>
        <v>Australia &amp; New Zealand</v>
      </c>
    </row>
    <row r="106" spans="1:9" ht="16">
      <c r="A106" s="8" t="str">
        <f>'Sovereign Ratings (Moody''s,S&amp;P)'!A106</f>
        <v>Nicaragua</v>
      </c>
      <c r="B106" s="119">
        <f>VLOOKUP(A106,'Country GDP'!$A$2:$B$181,2,FALSE)</f>
        <v>19693.982967592558</v>
      </c>
      <c r="C106" s="9" t="str">
        <f>VLOOKUP(A106,'Sovereign Ratings (Moody''s,S&amp;P)'!$A$2:$D$158,4,FALSE)</f>
        <v>B2</v>
      </c>
      <c r="D106" s="11">
        <f>VLOOKUP(A106,'10-year CDS Spreads'!$A$2:$C$158,3,FALSE)</f>
        <v>6.5299999999999997E-2</v>
      </c>
      <c r="E106" s="21">
        <f>VLOOKUP(A106,'ERPs by country'!$A$9:$F$165,4,FALSE)</f>
        <v>5.2343209797348314E-2</v>
      </c>
      <c r="F106" s="10">
        <f>VLOOKUP(A106,'ERPs by country'!$A$9:$F$165,5,FALSE)</f>
        <v>0.12801439572528456</v>
      </c>
      <c r="G106" s="14">
        <f>VLOOKUP(A106,'ERPs by country'!$A$9:$F$165,6,FALSE)</f>
        <v>8.0314395725284565E-2</v>
      </c>
      <c r="H106" s="14">
        <f>VLOOKUP(A106,'Country Tax Rates'!$A$2:$B$159,2,FALSE)</f>
        <v>0.3</v>
      </c>
      <c r="I106" s="15" t="str">
        <f>VLOOKUP(A106,'Regional lookup table'!$A$2:$B$162,2,FALSE)</f>
        <v>Central and South America</v>
      </c>
    </row>
    <row r="107" spans="1:9" ht="16">
      <c r="A107" s="8" t="str">
        <f>'Sovereign Ratings (Moody''s,S&amp;P)'!A107</f>
        <v>Niger</v>
      </c>
      <c r="B107" s="119">
        <f>VLOOKUP(A107,'Country GDP'!$A$2:$B$181,2,FALSE)</f>
        <v>19876.12848578567</v>
      </c>
      <c r="C107" s="9" t="str">
        <f>VLOOKUP(A107,'Sovereign Ratings (Moody''s,S&amp;P)'!$A$2:$D$158,4,FALSE)</f>
        <v>Caa3</v>
      </c>
      <c r="D107" s="11" t="str">
        <f>VLOOKUP(A107,'10-year CDS Spreads'!$A$2:$C$158,3,FALSE)</f>
        <v>NA</v>
      </c>
      <c r="E107" s="21">
        <f>VLOOKUP(A107,'ERPs by country'!$A$9:$F$165,4,FALSE)</f>
        <v>9.5179640037485941E-2</v>
      </c>
      <c r="F107" s="10">
        <f>VLOOKUP(A107,'ERPs by country'!$A$9:$F$165,5,FALSE)</f>
        <v>0.19374177513294266</v>
      </c>
      <c r="G107" s="14">
        <f>VLOOKUP(A107,'ERPs by country'!$A$9:$F$165,6,FALSE)</f>
        <v>0.14604177513294267</v>
      </c>
      <c r="H107" s="14">
        <f>VLOOKUP(A107,'Country Tax Rates'!$A$2:$B$159,2,FALSE)</f>
        <v>0.3</v>
      </c>
      <c r="I107" s="15" t="str">
        <f>VLOOKUP(A107,'Regional lookup table'!$A$2:$B$162,2,FALSE)</f>
        <v>Africa</v>
      </c>
    </row>
    <row r="108" spans="1:9" ht="16">
      <c r="A108" s="8" t="str">
        <f>'Sovereign Ratings (Moody''s,S&amp;P)'!A108</f>
        <v>Nigeria</v>
      </c>
      <c r="B108" s="119">
        <f>VLOOKUP(A108,'Country GDP'!$A$2:$B$181,2,FALSE)</f>
        <v>252261.88014115053</v>
      </c>
      <c r="C108" s="9" t="str">
        <f>VLOOKUP(A108,'Sovereign Ratings (Moody''s,S&amp;P)'!$A$2:$D$158,4,FALSE)</f>
        <v>B3</v>
      </c>
      <c r="D108" s="11">
        <f>VLOOKUP(A108,'10-year CDS Spreads'!$A$2:$C$158,3,FALSE)</f>
        <v>4.6899999999999997E-2</v>
      </c>
      <c r="E108" s="21">
        <f>VLOOKUP(A108,'ERPs by country'!$A$9:$F$165,4,FALSE)</f>
        <v>6.1849989354559008E-2</v>
      </c>
      <c r="F108" s="10">
        <f>VLOOKUP(A108,'ERPs by country'!$A$9:$F$165,5,FALSE)</f>
        <v>0.14260141204291102</v>
      </c>
      <c r="G108" s="14">
        <f>VLOOKUP(A108,'ERPs by country'!$A$9:$F$165,6,FALSE)</f>
        <v>9.4901412042911026E-2</v>
      </c>
      <c r="H108" s="14">
        <f>VLOOKUP(A108,'Country Tax Rates'!$A$2:$B$159,2,FALSE)</f>
        <v>0.3</v>
      </c>
      <c r="I108" s="15" t="str">
        <f>VLOOKUP(A108,'Regional lookup table'!$A$2:$B$162,2,FALSE)</f>
        <v>Africa</v>
      </c>
    </row>
    <row r="109" spans="1:9" ht="16">
      <c r="A109" s="8" t="str">
        <f>'Sovereign Ratings (Moody''s,S&amp;P)'!A109</f>
        <v>Norway</v>
      </c>
      <c r="B109" s="119">
        <f>VLOOKUP(A109,'Country GDP'!$A$2:$B$181,2,FALSE)</f>
        <v>483592.64831330121</v>
      </c>
      <c r="C109" s="9" t="str">
        <f>VLOOKUP(A109,'Sovereign Ratings (Moody''s,S&amp;P)'!$A$2:$D$158,4,FALSE)</f>
        <v>Aaa</v>
      </c>
      <c r="D109" s="11">
        <f>VLOOKUP(A109,'10-year CDS Spreads'!$A$2:$C$158,3,FALSE)</f>
        <v>1.8E-3</v>
      </c>
      <c r="E109" s="21">
        <f>VLOOKUP(A109,'ERPs by country'!$A$9:$F$165,4,FALSE)</f>
        <v>0</v>
      </c>
      <c r="F109" s="10">
        <f>VLOOKUP(A109,'ERPs by country'!$A$9:$F$165,5,FALSE)</f>
        <v>4.7699999999999999E-2</v>
      </c>
      <c r="G109" s="14">
        <f>VLOOKUP(A109,'ERPs by country'!$A$9:$F$165,6,FALSE)</f>
        <v>0</v>
      </c>
      <c r="H109" s="14">
        <f>VLOOKUP(A109,'Country Tax Rates'!$A$2:$B$159,2,FALSE)</f>
        <v>0.22</v>
      </c>
      <c r="I109" s="15" t="str">
        <f>VLOOKUP(A109,'Regional lookup table'!$A$2:$B$162,2,FALSE)</f>
        <v>Western Europe</v>
      </c>
    </row>
    <row r="110" spans="1:9" ht="16">
      <c r="A110" s="8" t="str">
        <f>'Sovereign Ratings (Moody''s,S&amp;P)'!A110</f>
        <v>Oman</v>
      </c>
      <c r="B110" s="119">
        <f>VLOOKUP(A110,'Country GDP'!$A$2:$B$181,2,FALSE)</f>
        <v>107137.19876938646</v>
      </c>
      <c r="C110" s="9" t="str">
        <f>VLOOKUP(A110,'Sovereign Ratings (Moody''s,S&amp;P)'!$A$2:$D$158,4,FALSE)</f>
        <v>Baa3</v>
      </c>
      <c r="D110" s="11">
        <f>VLOOKUP(A110,'10-year CDS Spreads'!$A$2:$C$158,3,FALSE)</f>
        <v>1.5699999999999999E-2</v>
      </c>
      <c r="E110" s="21">
        <f>VLOOKUP(A110,'ERPs by country'!$A$9:$F$165,4,FALSE)</f>
        <v>2.091491502586354E-2</v>
      </c>
      <c r="F110" s="10">
        <f>VLOOKUP(A110,'ERPs by country'!$A$9:$F$165,5,FALSE)</f>
        <v>7.979143589877824E-2</v>
      </c>
      <c r="G110" s="14">
        <f>VLOOKUP(A110,'ERPs by country'!$A$9:$F$165,6,FALSE)</f>
        <v>3.2091435898778241E-2</v>
      </c>
      <c r="H110" s="14">
        <f>VLOOKUP(A110,'Country Tax Rates'!$A$2:$B$159,2,FALSE)</f>
        <v>0.15</v>
      </c>
      <c r="I110" s="15" t="str">
        <f>VLOOKUP(A110,'Regional lookup table'!$A$2:$B$162,2,FALSE)</f>
        <v>Middle East</v>
      </c>
    </row>
    <row r="111" spans="1:9" ht="16">
      <c r="A111" s="8" t="str">
        <f>'Sovereign Ratings (Moody''s,S&amp;P)'!A111</f>
        <v>Pakistan</v>
      </c>
      <c r="B111" s="119">
        <f>VLOOKUP(A111,'Country GDP'!$A$2:$B$181,2,FALSE)</f>
        <v>371570.00012126582</v>
      </c>
      <c r="C111" s="9" t="str">
        <f>VLOOKUP(A111,'Sovereign Ratings (Moody''s,S&amp;P)'!$A$2:$D$158,4,FALSE)</f>
        <v>Caa1</v>
      </c>
      <c r="D111" s="11">
        <f>VLOOKUP(A111,'10-year CDS Spreads'!$A$2:$C$158,3,FALSE)</f>
        <v>6.8599999999999994E-2</v>
      </c>
      <c r="E111" s="21">
        <f>VLOOKUP(A111,'ERPs by country'!$A$9:$F$165,4,FALSE)</f>
        <v>7.1356768911769716E-2</v>
      </c>
      <c r="F111" s="10">
        <f>VLOOKUP(A111,'ERPs by country'!$A$9:$F$165,5,FALSE)</f>
        <v>0.15718842836053751</v>
      </c>
      <c r="G111" s="14">
        <f>VLOOKUP(A111,'ERPs by country'!$A$9:$F$165,6,FALSE)</f>
        <v>0.10948842836053752</v>
      </c>
      <c r="H111" s="14">
        <f>VLOOKUP(A111,'Country Tax Rates'!$A$2:$B$159,2,FALSE)</f>
        <v>0.28999999999999998</v>
      </c>
      <c r="I111" s="15" t="str">
        <f>VLOOKUP(A111,'Regional lookup table'!$A$2:$B$162,2,FALSE)</f>
        <v>Asia</v>
      </c>
    </row>
    <row r="112" spans="1:9" ht="16">
      <c r="A112" s="8" t="str">
        <f>'Sovereign Ratings (Moody''s,S&amp;P)'!A112</f>
        <v>Panama</v>
      </c>
      <c r="B112" s="119">
        <f>VLOOKUP(A112,'Country GDP'!$A$2:$B$181,2,FALSE)</f>
        <v>86523.959131747193</v>
      </c>
      <c r="C112" s="9" t="str">
        <f>VLOOKUP(A112,'Sovereign Ratings (Moody''s,S&amp;P)'!$A$2:$D$158,4,FALSE)</f>
        <v>Baa3</v>
      </c>
      <c r="D112" s="11">
        <f>VLOOKUP(A112,'10-year CDS Spreads'!$A$2:$C$158,3,FALSE)</f>
        <v>2.1999999999999999E-2</v>
      </c>
      <c r="E112" s="21">
        <f>VLOOKUP(A112,'ERPs by country'!$A$9:$F$165,4,FALSE)</f>
        <v>2.091491502586354E-2</v>
      </c>
      <c r="F112" s="10">
        <f>VLOOKUP(A112,'ERPs by country'!$A$9:$F$165,5,FALSE)</f>
        <v>7.979143589877824E-2</v>
      </c>
      <c r="G112" s="14">
        <f>VLOOKUP(A112,'ERPs by country'!$A$9:$F$165,6,FALSE)</f>
        <v>3.2091435898778241E-2</v>
      </c>
      <c r="H112" s="14">
        <f>VLOOKUP(A112,'Country Tax Rates'!$A$2:$B$159,2,FALSE)</f>
        <v>0.25</v>
      </c>
      <c r="I112" s="15" t="str">
        <f>VLOOKUP(A112,'Regional lookup table'!$A$2:$B$162,2,FALSE)</f>
        <v>Central and South America</v>
      </c>
    </row>
    <row r="113" spans="1:13" ht="16">
      <c r="A113" s="8" t="str">
        <f>'Sovereign Ratings (Moody''s,S&amp;P)'!A113</f>
        <v>Papua New Guinea</v>
      </c>
      <c r="B113" s="119">
        <f>VLOOKUP(A113,'Country GDP'!$A$2:$B$181,2,FALSE)</f>
        <v>31800.428265524628</v>
      </c>
      <c r="C113" s="9" t="str">
        <f>VLOOKUP(A113,'Sovereign Ratings (Moody''s,S&amp;P)'!$A$2:$D$158,4,FALSE)</f>
        <v>B2</v>
      </c>
      <c r="D113" s="11" t="str">
        <f>VLOOKUP(A113,'10-year CDS Spreads'!$A$2:$C$158,3,FALSE)</f>
        <v>NA</v>
      </c>
      <c r="E113" s="21">
        <f>VLOOKUP(A113,'ERPs by country'!$A$9:$F$165,4,FALSE)</f>
        <v>5.2343209797348314E-2</v>
      </c>
      <c r="F113" s="10">
        <f>VLOOKUP(A113,'ERPs by country'!$A$9:$F$165,5,FALSE)</f>
        <v>0.12801439572528456</v>
      </c>
      <c r="G113" s="14">
        <f>VLOOKUP(A113,'ERPs by country'!$A$9:$F$165,6,FALSE)</f>
        <v>8.0314395725284565E-2</v>
      </c>
      <c r="H113" s="14">
        <f>VLOOKUP(A113,'Country Tax Rates'!$A$2:$B$159,2,FALSE)</f>
        <v>0.3</v>
      </c>
      <c r="I113" s="15" t="str">
        <f>VLOOKUP(A113,'Regional lookup table'!$A$2:$B$162,2,FALSE)</f>
        <v>Asia</v>
      </c>
    </row>
    <row r="114" spans="1:13" ht="16">
      <c r="A114" s="8" t="str">
        <f>'Sovereign Ratings (Moody''s,S&amp;P)'!A114</f>
        <v>Paraguay</v>
      </c>
      <c r="B114" s="119">
        <f>VLOOKUP(A114,'Country GDP'!$A$2:$B$181,2,FALSE)</f>
        <v>44458.118397444545</v>
      </c>
      <c r="C114" s="9" t="str">
        <f>VLOOKUP(A114,'Sovereign Ratings (Moody''s,S&amp;P)'!$A$2:$D$158,4,FALSE)</f>
        <v>Baa3</v>
      </c>
      <c r="D114" s="11" t="str">
        <f>VLOOKUP(A114,'10-year CDS Spreads'!$A$2:$C$158,3,FALSE)</f>
        <v>NA</v>
      </c>
      <c r="E114" s="21">
        <f>VLOOKUP(A114,'ERPs by country'!$A$9:$F$165,4,FALSE)</f>
        <v>2.091491502586354E-2</v>
      </c>
      <c r="F114" s="10">
        <f>VLOOKUP(A114,'ERPs by country'!$A$9:$F$165,5,FALSE)</f>
        <v>7.979143589877824E-2</v>
      </c>
      <c r="G114" s="14">
        <f>VLOOKUP(A114,'ERPs by country'!$A$9:$F$165,6,FALSE)</f>
        <v>3.2091435898778241E-2</v>
      </c>
      <c r="H114" s="14">
        <f>VLOOKUP(A114,'Country Tax Rates'!$A$2:$B$159,2,FALSE)</f>
        <v>0.1</v>
      </c>
      <c r="I114" s="15" t="str">
        <f>VLOOKUP(A114,'Regional lookup table'!$A$2:$B$162,2,FALSE)</f>
        <v>Central and South America</v>
      </c>
    </row>
    <row r="115" spans="1:13" ht="16">
      <c r="A115" s="8" t="str">
        <f>'Sovereign Ratings (Moody''s,S&amp;P)'!A115</f>
        <v>Peru</v>
      </c>
      <c r="B115" s="119">
        <f>VLOOKUP(A115,'Country GDP'!$A$2:$B$181,2,FALSE)</f>
        <v>289221.9690629408</v>
      </c>
      <c r="C115" s="9" t="str">
        <f>VLOOKUP(A115,'Sovereign Ratings (Moody''s,S&amp;P)'!$A$2:$D$158,4,FALSE)</f>
        <v>Baa1</v>
      </c>
      <c r="D115" s="11">
        <f>VLOOKUP(A115,'10-year CDS Spreads'!$A$2:$C$158,3,FALSE)</f>
        <v>1.41E-2</v>
      </c>
      <c r="E115" s="21">
        <f>VLOOKUP(A115,'ERPs by country'!$A$9:$F$165,4,FALSE)</f>
        <v>1.5210847291537115E-2</v>
      </c>
      <c r="F115" s="10">
        <f>VLOOKUP(A115,'ERPs by country'!$A$9:$F$165,5,FALSE)</f>
        <v>7.1039226108202347E-2</v>
      </c>
      <c r="G115" s="14">
        <f>VLOOKUP(A115,'ERPs by country'!$A$9:$F$165,6,FALSE)</f>
        <v>2.3339226108202347E-2</v>
      </c>
      <c r="H115" s="14">
        <f>VLOOKUP(A115,'Country Tax Rates'!$A$2:$B$159,2,FALSE)</f>
        <v>0.29499999999999998</v>
      </c>
      <c r="I115" s="15" t="str">
        <f>VLOOKUP(A115,'Regional lookup table'!$A$2:$B$162,2,FALSE)</f>
        <v>Central and South America</v>
      </c>
    </row>
    <row r="116" spans="1:13" ht="16">
      <c r="A116" s="8" t="str">
        <f>'Sovereign Ratings (Moody''s,S&amp;P)'!A116</f>
        <v>Philippines</v>
      </c>
      <c r="B116" s="119">
        <f>VLOOKUP(A116,'Country GDP'!$A$2:$B$181,2,FALSE)</f>
        <v>461617.50978235458</v>
      </c>
      <c r="C116" s="9" t="str">
        <f>VLOOKUP(A116,'Sovereign Ratings (Moody''s,S&amp;P)'!$A$2:$D$158,4,FALSE)</f>
        <v>Baa2</v>
      </c>
      <c r="D116" s="11">
        <f>VLOOKUP(A116,'10-year CDS Spreads'!$A$2:$C$158,3,FALSE)</f>
        <v>1.3299999999999999E-2</v>
      </c>
      <c r="E116" s="21">
        <f>VLOOKUP(A116,'ERPs by country'!$A$9:$F$165,4,FALSE)</f>
        <v>1.8118803391389805E-2</v>
      </c>
      <c r="F116" s="10">
        <f>VLOOKUP(A116,'ERPs by country'!$A$9:$F$165,5,FALSE)</f>
        <v>7.5501136981829281E-2</v>
      </c>
      <c r="G116" s="14">
        <f>VLOOKUP(A116,'ERPs by country'!$A$9:$F$165,6,FALSE)</f>
        <v>2.7801136981829278E-2</v>
      </c>
      <c r="H116" s="14">
        <f>VLOOKUP(A116,'Country Tax Rates'!$A$2:$B$159,2,FALSE)</f>
        <v>0.25</v>
      </c>
      <c r="I116" s="15" t="str">
        <f>VLOOKUP(A116,'Regional lookup table'!$A$2:$B$162,2,FALSE)</f>
        <v>Asia</v>
      </c>
    </row>
    <row r="117" spans="1:13" ht="16">
      <c r="A117" s="8" t="str">
        <f>'Sovereign Ratings (Moody''s,S&amp;P)'!A117</f>
        <v>Poland</v>
      </c>
      <c r="B117" s="119">
        <f>VLOOKUP(A117,'Country GDP'!$A$2:$B$181,2,FALSE)</f>
        <v>917767.10614676145</v>
      </c>
      <c r="C117" s="9" t="str">
        <f>VLOOKUP(A117,'Sovereign Ratings (Moody''s,S&amp;P)'!$A$2:$D$158,4,FALSE)</f>
        <v>A2</v>
      </c>
      <c r="D117" s="11">
        <f>VLOOKUP(A117,'10-year CDS Spreads'!$A$2:$C$158,3,FALSE)</f>
        <v>1.0699999999999999E-2</v>
      </c>
      <c r="E117" s="21">
        <f>VLOOKUP(A117,'ERPs by country'!$A$9:$F$165,4,FALSE)</f>
        <v>8.0528015072843552E-3</v>
      </c>
      <c r="F117" s="10">
        <f>VLOOKUP(A117,'ERPs by country'!$A$9:$F$165,5,FALSE)</f>
        <v>6.0056060880813007E-2</v>
      </c>
      <c r="G117" s="14">
        <f>VLOOKUP(A117,'ERPs by country'!$A$9:$F$165,6,FALSE)</f>
        <v>1.2356060880813008E-2</v>
      </c>
      <c r="H117" s="14">
        <f>VLOOKUP(A117,'Country Tax Rates'!$A$2:$B$159,2,FALSE)</f>
        <v>0.19</v>
      </c>
      <c r="I117" s="15" t="str">
        <f>VLOOKUP(A117,'Regional lookup table'!$A$2:$B$162,2,FALSE)</f>
        <v>Eastern Europe &amp; Russia</v>
      </c>
    </row>
    <row r="118" spans="1:13" ht="16">
      <c r="A118" s="8" t="str">
        <f>'Sovereign Ratings (Moody''s,S&amp;P)'!A118</f>
        <v>Portugal</v>
      </c>
      <c r="B118" s="119">
        <f>VLOOKUP(A118,'Country GDP'!$A$2:$B$181,2,FALSE)</f>
        <v>313271.18508510228</v>
      </c>
      <c r="C118" s="9" t="str">
        <f>VLOOKUP(A118,'Sovereign Ratings (Moody''s,S&amp;P)'!$A$2:$D$158,4,FALSE)</f>
        <v>A3</v>
      </c>
      <c r="D118" s="11">
        <f>VLOOKUP(A118,'10-year CDS Spreads'!$A$2:$C$158,3,FALSE)</f>
        <v>4.3E-3</v>
      </c>
      <c r="E118" s="21">
        <f>VLOOKUP(A118,'ERPs by country'!$A$9:$F$165,4,FALSE)</f>
        <v>1.1408135468652839E-2</v>
      </c>
      <c r="F118" s="10">
        <f>VLOOKUP(A118,'ERPs by country'!$A$9:$F$165,5,FALSE)</f>
        <v>6.5204419581151765E-2</v>
      </c>
      <c r="G118" s="14">
        <f>VLOOKUP(A118,'ERPs by country'!$A$9:$F$165,6,FALSE)</f>
        <v>1.7504419581151766E-2</v>
      </c>
      <c r="H118" s="14">
        <f>VLOOKUP(A118,'Country Tax Rates'!$A$2:$B$159,2,FALSE)</f>
        <v>0.315</v>
      </c>
      <c r="I118" s="15" t="str">
        <f>VLOOKUP(A118,'Regional lookup table'!$A$2:$B$162,2,FALSE)</f>
        <v>Western Europe</v>
      </c>
    </row>
    <row r="119" spans="1:13" ht="16">
      <c r="A119" s="8" t="str">
        <f>'Sovereign Ratings (Moody''s,S&amp;P)'!A119</f>
        <v>Qatar</v>
      </c>
      <c r="B119" s="119">
        <f>VLOOKUP(A119,'Country GDP'!$A$2:$B$181,2,FALSE)</f>
        <v>219162.63736263735</v>
      </c>
      <c r="C119" s="9" t="str">
        <f>VLOOKUP(A119,'Sovereign Ratings (Moody''s,S&amp;P)'!$A$2:$D$158,4,FALSE)</f>
        <v>Aa2</v>
      </c>
      <c r="D119" s="11">
        <f>VLOOKUP(A119,'10-year CDS Spreads'!$A$2:$C$158,3,FALSE)</f>
        <v>8.9999999999999993E-3</v>
      </c>
      <c r="E119" s="21">
        <f>VLOOKUP(A119,'ERPs by country'!$A$9:$F$165,4,FALSE)</f>
        <v>4.6974675459158736E-3</v>
      </c>
      <c r="F119" s="10">
        <f>VLOOKUP(A119,'ERPs by country'!$A$9:$F$165,5,FALSE)</f>
        <v>5.4907702180474256E-2</v>
      </c>
      <c r="G119" s="14">
        <f>VLOOKUP(A119,'ERPs by country'!$A$9:$F$165,6,FALSE)</f>
        <v>7.2077021804742543E-3</v>
      </c>
      <c r="H119" s="14">
        <f>VLOOKUP(A119,'Country Tax Rates'!$A$2:$B$159,2,FALSE)</f>
        <v>0.1</v>
      </c>
      <c r="I119" s="15" t="str">
        <f>VLOOKUP(A119,'Regional lookup table'!$A$2:$B$162,2,FALSE)</f>
        <v>Middle East</v>
      </c>
    </row>
    <row r="120" spans="1:13" ht="16">
      <c r="A120" s="8" t="str">
        <f>'Sovereign Ratings (Moody''s,S&amp;P)'!A120</f>
        <v>Ras Al Khaimah (Emirate of)</v>
      </c>
      <c r="B120" s="119">
        <f>VLOOKUP(A120,'Country GDP'!$A$2:$B$181,2,FALSE)</f>
        <v>11000</v>
      </c>
      <c r="C120" s="9" t="str">
        <f>VLOOKUP(A120,'Sovereign Ratings (Moody''s,S&amp;P)'!$A$2:$D$158,4,FALSE)</f>
        <v>A3</v>
      </c>
      <c r="D120" s="11" t="str">
        <f>VLOOKUP(A120,'10-year CDS Spreads'!$A$2:$C$158,3,FALSE)</f>
        <v>NA</v>
      </c>
      <c r="E120" s="21">
        <f>VLOOKUP(A120,'ERPs by country'!$A$9:$F$165,4,FALSE)</f>
        <v>1.1408135468652839E-2</v>
      </c>
      <c r="F120" s="10">
        <f>VLOOKUP(A120,'ERPs by country'!$A$9:$F$165,5,FALSE)</f>
        <v>6.5204419581151765E-2</v>
      </c>
      <c r="G120" s="14">
        <f>VLOOKUP(A120,'ERPs by country'!$A$9:$F$165,6,FALSE)</f>
        <v>1.7504419581151766E-2</v>
      </c>
      <c r="H120" s="14">
        <f>VLOOKUP(A120,'Country Tax Rates'!$A$2:$B$159,2,FALSE)</f>
        <v>0.18940000000000001</v>
      </c>
      <c r="I120" s="15" t="str">
        <f>VLOOKUP(A120,'Regional lookup table'!$A$2:$B$162,2,FALSE)</f>
        <v>Middle East</v>
      </c>
    </row>
    <row r="121" spans="1:13" ht="16">
      <c r="A121" s="8" t="str">
        <f>'Sovereign Ratings (Moody''s,S&amp;P)'!A121</f>
        <v>Romania</v>
      </c>
      <c r="B121" s="119">
        <f>VLOOKUP(A121,'Country GDP'!$A$2:$B$181,2,FALSE)</f>
        <v>382564.21798886574</v>
      </c>
      <c r="C121" s="9" t="str">
        <f>VLOOKUP(A121,'Sovereign Ratings (Moody''s,S&amp;P)'!$A$2:$D$158,4,FALSE)</f>
        <v>Baa3</v>
      </c>
      <c r="D121" s="11">
        <f>VLOOKUP(A121,'10-year CDS Spreads'!$A$2:$C$158,3,FALSE)</f>
        <v>2.4199999999999999E-2</v>
      </c>
      <c r="E121" s="21">
        <f>VLOOKUP(A121,'ERPs by country'!$A$9:$F$165,4,FALSE)</f>
        <v>2.091491502586354E-2</v>
      </c>
      <c r="F121" s="10">
        <f>VLOOKUP(A121,'ERPs by country'!$A$9:$F$165,5,FALSE)</f>
        <v>7.979143589877824E-2</v>
      </c>
      <c r="G121" s="14">
        <f>VLOOKUP(A121,'ERPs by country'!$A$9:$F$165,6,FALSE)</f>
        <v>3.2091435898778241E-2</v>
      </c>
      <c r="H121" s="14">
        <f>VLOOKUP(A121,'Country Tax Rates'!$A$2:$B$159,2,FALSE)</f>
        <v>0.16</v>
      </c>
      <c r="I121" s="15" t="str">
        <f>VLOOKUP(A121,'Regional lookup table'!$A$2:$B$162,2,FALSE)</f>
        <v>Eastern Europe &amp; Russia</v>
      </c>
    </row>
    <row r="122" spans="1:13" ht="16">
      <c r="A122" s="8" t="str">
        <f>'Sovereign Ratings (Moody''s,S&amp;P)'!A122</f>
        <v>Rwanda</v>
      </c>
      <c r="B122" s="119">
        <f>VLOOKUP(A122,'Country GDP'!$A$2:$B$181,2,FALSE)</f>
        <v>14251.642235096837</v>
      </c>
      <c r="C122" s="9" t="str">
        <f>VLOOKUP(A122,'Sovereign Ratings (Moody''s,S&amp;P)'!$A$2:$D$158,4,FALSE)</f>
        <v>B2</v>
      </c>
      <c r="D122" s="11">
        <f>VLOOKUP(A122,'10-year CDS Spreads'!$A$2:$C$158,3,FALSE)</f>
        <v>3.9399999999999998E-2</v>
      </c>
      <c r="E122" s="21">
        <f>VLOOKUP(A122,'ERPs by country'!$A$9:$F$165,4,FALSE)</f>
        <v>5.2343209797348314E-2</v>
      </c>
      <c r="F122" s="10">
        <f>VLOOKUP(A122,'ERPs by country'!$A$9:$F$165,5,FALSE)</f>
        <v>0.12801439572528456</v>
      </c>
      <c r="G122" s="14">
        <f>VLOOKUP(A122,'ERPs by country'!$A$9:$F$165,6,FALSE)</f>
        <v>8.0314395725284565E-2</v>
      </c>
      <c r="H122" s="14">
        <f>VLOOKUP(A122,'Country Tax Rates'!$A$2:$B$159,2,FALSE)</f>
        <v>0.28000000000000003</v>
      </c>
      <c r="I122" s="15" t="str">
        <f>VLOOKUP(A122,'Regional lookup table'!$A$2:$B$162,2,FALSE)</f>
        <v>Africa</v>
      </c>
      <c r="K122" s="192"/>
      <c r="L122" s="192"/>
      <c r="M122" s="192"/>
    </row>
    <row r="123" spans="1:13" ht="16">
      <c r="A123" s="8" t="str">
        <f>'Sovereign Ratings (Moody''s,S&amp;P)'!A123</f>
        <v>Saudi Arabia</v>
      </c>
      <c r="B123" s="119">
        <f>VLOOKUP(A123,'Country GDP'!$A$2:$B$181,2,FALSE)</f>
        <v>1239804.5333333332</v>
      </c>
      <c r="C123" s="9" t="str">
        <f>VLOOKUP(A123,'Sovereign Ratings (Moody''s,S&amp;P)'!$A$2:$D$158,4,FALSE)</f>
        <v>Aa3</v>
      </c>
      <c r="D123" s="11">
        <f>VLOOKUP(A123,'10-year CDS Spreads'!$A$2:$C$158,3,FALSE)</f>
        <v>1.2699999999999999E-2</v>
      </c>
      <c r="E123" s="21">
        <f>VLOOKUP(A123,'ERPs by country'!$A$9:$F$165,4,FALSE)</f>
        <v>5.7040677343264193E-3</v>
      </c>
      <c r="F123" s="10">
        <f>VLOOKUP(A123,'ERPs by country'!$A$9:$F$165,5,FALSE)</f>
        <v>5.6452209790575886E-2</v>
      </c>
      <c r="G123" s="14">
        <f>VLOOKUP(A123,'ERPs by country'!$A$9:$F$165,6,FALSE)</f>
        <v>8.7522097905758829E-3</v>
      </c>
      <c r="H123" s="14">
        <f>VLOOKUP(A123,'Country Tax Rates'!$A$2:$B$159,2,FALSE)</f>
        <v>0.2</v>
      </c>
      <c r="I123" s="15" t="str">
        <f>VLOOKUP(A123,'Regional lookup table'!$A$2:$B$162,2,FALSE)</f>
        <v>Middle East</v>
      </c>
    </row>
    <row r="124" spans="1:13" ht="16">
      <c r="A124" s="8" t="str">
        <f>'Sovereign Ratings (Moody''s,S&amp;P)'!A124</f>
        <v>Senegal</v>
      </c>
      <c r="B124" s="119">
        <f>VLOOKUP(A124,'Country GDP'!$A$2:$B$181,2,FALSE)</f>
        <v>32808.056600943579</v>
      </c>
      <c r="C124" s="9" t="str">
        <f>VLOOKUP(A124,'Sovereign Ratings (Moody''s,S&amp;P)'!$A$2:$D$158,4,FALSE)</f>
        <v>Caa1</v>
      </c>
      <c r="D124" s="11">
        <f>VLOOKUP(A124,'10-year CDS Spreads'!$A$2:$C$158,3,FALSE)</f>
        <v>8.6999999999999994E-2</v>
      </c>
      <c r="E124" s="21">
        <f>VLOOKUP(A124,'ERPs by country'!$A$9:$F$165,4,FALSE)</f>
        <v>7.1356768911769716E-2</v>
      </c>
      <c r="F124" s="10">
        <f>VLOOKUP(A124,'ERPs by country'!$A$9:$F$165,5,FALSE)</f>
        <v>0.15718842836053751</v>
      </c>
      <c r="G124" s="14">
        <f>VLOOKUP(A124,'ERPs by country'!$A$9:$F$165,6,FALSE)</f>
        <v>0.10948842836053752</v>
      </c>
      <c r="H124" s="14">
        <f>VLOOKUP(A124,'Country Tax Rates'!$A$2:$B$159,2,FALSE)</f>
        <v>0.3</v>
      </c>
      <c r="I124" s="15" t="str">
        <f>VLOOKUP(A124,'Regional lookup table'!$A$2:$B$162,2,FALSE)</f>
        <v>Africa</v>
      </c>
    </row>
    <row r="125" spans="1:13" ht="16">
      <c r="A125" s="8" t="str">
        <f>'Sovereign Ratings (Moody''s,S&amp;P)'!A125</f>
        <v>Serbia</v>
      </c>
      <c r="B125" s="119">
        <f>VLOOKUP(A125,'Country GDP'!$A$2:$B$181,2,FALSE)</f>
        <v>90097.765959111435</v>
      </c>
      <c r="C125" s="9" t="str">
        <f>VLOOKUP(A125,'Sovereign Ratings (Moody''s,S&amp;P)'!$A$2:$D$158,4,FALSE)</f>
        <v>Ba2</v>
      </c>
      <c r="D125" s="11">
        <f>VLOOKUP(A125,'10-year CDS Spreads'!$A$2:$C$158,3,FALSE)</f>
        <v>2.12E-2</v>
      </c>
      <c r="E125" s="21">
        <f>VLOOKUP(A125,'ERPs by country'!$A$9:$F$165,4,FALSE)</f>
        <v>2.863218313701105E-2</v>
      </c>
      <c r="F125" s="10">
        <f>VLOOKUP(A125,'ERPs by country'!$A$9:$F$165,5,FALSE)</f>
        <v>9.1632660909557379E-2</v>
      </c>
      <c r="G125" s="14">
        <f>VLOOKUP(A125,'ERPs by country'!$A$9:$F$165,6,FALSE)</f>
        <v>4.3932660909557379E-2</v>
      </c>
      <c r="H125" s="14">
        <f>VLOOKUP(A125,'Country Tax Rates'!$A$2:$B$159,2,FALSE)</f>
        <v>0.15</v>
      </c>
      <c r="I125" s="15" t="str">
        <f>VLOOKUP(A125,'Regional lookup table'!$A$2:$B$162,2,FALSE)</f>
        <v>Eastern Europe &amp; Russia</v>
      </c>
    </row>
    <row r="126" spans="1:13" ht="16">
      <c r="A126" s="8" t="str">
        <f>'Sovereign Ratings (Moody''s,S&amp;P)'!A126</f>
        <v>Sharjah</v>
      </c>
      <c r="B126" s="119">
        <f>VLOOKUP(A126,'Country GDP'!$A$2:$B$181,2,FALSE)</f>
        <v>24800</v>
      </c>
      <c r="C126" s="9" t="str">
        <f>VLOOKUP(A126,'Sovereign Ratings (Moody''s,S&amp;P)'!$A$2:$D$158,4,FALSE)</f>
        <v>Ba1</v>
      </c>
      <c r="D126" s="11" t="e">
        <f>VLOOKUP(A126,'10-year CDS Spreads'!$A$2:$C$158,3,FALSE)</f>
        <v>#N/A</v>
      </c>
      <c r="E126" s="21">
        <f>VLOOKUP(A126,'ERPs by country'!$A$9:$F$165,4,FALSE)</f>
        <v>2.3822871125716225E-2</v>
      </c>
      <c r="F126" s="10">
        <f>VLOOKUP(A126,'ERPs by country'!$A$9:$F$165,5,FALSE)</f>
        <v>8.425334677240516E-2</v>
      </c>
      <c r="G126" s="14">
        <f>VLOOKUP(A126,'ERPs by country'!$A$9:$F$165,6,FALSE)</f>
        <v>3.6553346772405161E-2</v>
      </c>
      <c r="H126" s="14">
        <f>VLOOKUP(A126,'Country Tax Rates'!$A$2:$B$159,2,FALSE)</f>
        <v>0.18940000000000001</v>
      </c>
      <c r="I126" s="15" t="str">
        <f>VLOOKUP(A126,'Regional lookup table'!$A$2:$B$162,2,FALSE)</f>
        <v>Middle East</v>
      </c>
    </row>
    <row r="127" spans="1:13" ht="16">
      <c r="A127" s="8" t="str">
        <f>'Sovereign Ratings (Moody''s,S&amp;P)'!A127</f>
        <v>Singapore</v>
      </c>
      <c r="B127" s="119">
        <f>VLOOKUP(A127,'Country GDP'!$A$2:$B$181,2,FALSE)</f>
        <v>547386.64589184662</v>
      </c>
      <c r="C127" s="9" t="str">
        <f>VLOOKUP(A127,'Sovereign Ratings (Moody''s,S&amp;P)'!$A$2:$D$158,4,FALSE)</f>
        <v>Aaa</v>
      </c>
      <c r="D127" s="11" t="e">
        <f>VLOOKUP(A127,'10-year CDS Spreads'!$A$2:$C$158,3,FALSE)</f>
        <v>#N/A</v>
      </c>
      <c r="E127" s="21">
        <f>VLOOKUP(A127,'ERPs by country'!$A$9:$F$165,4,FALSE)</f>
        <v>0</v>
      </c>
      <c r="F127" s="10">
        <f>VLOOKUP(A127,'ERPs by country'!$A$9:$F$165,5,FALSE)</f>
        <v>4.7699999999999999E-2</v>
      </c>
      <c r="G127" s="14">
        <f>VLOOKUP(A127,'ERPs by country'!$A$9:$F$165,6,FALSE)</f>
        <v>0</v>
      </c>
      <c r="H127" s="14">
        <f>VLOOKUP(A127,'Country Tax Rates'!$A$2:$B$159,2,FALSE)</f>
        <v>0.17</v>
      </c>
      <c r="I127" s="15" t="str">
        <f>VLOOKUP(A127,'Regional lookup table'!$A$2:$B$162,2,FALSE)</f>
        <v>Asia</v>
      </c>
    </row>
    <row r="128" spans="1:13" ht="16">
      <c r="A128" s="8" t="str">
        <f>'Sovereign Ratings (Moody''s,S&amp;P)'!A128</f>
        <v>Slovakia</v>
      </c>
      <c r="B128" s="119">
        <f>VLOOKUP(A128,'Country GDP'!$A$2:$B$181,2,FALSE)</f>
        <v>140934.07653237498</v>
      </c>
      <c r="C128" s="9" t="str">
        <f>VLOOKUP(A128,'Sovereign Ratings (Moody''s,S&amp;P)'!$A$2:$D$158,4,FALSE)</f>
        <v>A3</v>
      </c>
      <c r="D128" s="11">
        <f>VLOOKUP(A128,'10-year CDS Spreads'!$A$2:$C$158,3,FALSE)</f>
        <v>6.7999999999999996E-3</v>
      </c>
      <c r="E128" s="21">
        <f>VLOOKUP(A128,'ERPs by country'!$A$9:$F$165,4,FALSE)</f>
        <v>1.1408135468652839E-2</v>
      </c>
      <c r="F128" s="10">
        <f>VLOOKUP(A128,'ERPs by country'!$A$9:$F$165,5,FALSE)</f>
        <v>6.5204419581151765E-2</v>
      </c>
      <c r="G128" s="14">
        <f>VLOOKUP(A128,'ERPs by country'!$A$9:$F$165,6,FALSE)</f>
        <v>1.7504419581151766E-2</v>
      </c>
      <c r="H128" s="14">
        <f>VLOOKUP(A128,'Country Tax Rates'!$A$2:$B$159,2,FALSE)</f>
        <v>0.21</v>
      </c>
      <c r="I128" s="15" t="str">
        <f>VLOOKUP(A128,'Regional lookup table'!$A$2:$B$162,2,FALSE)</f>
        <v>Eastern Europe &amp; Russia</v>
      </c>
    </row>
    <row r="129" spans="1:9" ht="16">
      <c r="A129" s="8" t="str">
        <f>'Sovereign Ratings (Moody''s,S&amp;P)'!A129</f>
        <v>Slovenia</v>
      </c>
      <c r="B129" s="119">
        <f>VLOOKUP(A129,'Country GDP'!$A$2:$B$181,2,FALSE)</f>
        <v>72972.015197385903</v>
      </c>
      <c r="C129" s="9" t="str">
        <f>VLOOKUP(A129,'Sovereign Ratings (Moody''s,S&amp;P)'!$A$2:$D$158,4,FALSE)</f>
        <v>A2</v>
      </c>
      <c r="D129" s="11">
        <f>VLOOKUP(A129,'10-year CDS Spreads'!$A$2:$C$158,3,FALSE)</f>
        <v>7.9000000000000008E-3</v>
      </c>
      <c r="E129" s="21">
        <f>VLOOKUP(A129,'ERPs by country'!$A$9:$F$165,4,FALSE)</f>
        <v>8.0528015072843552E-3</v>
      </c>
      <c r="F129" s="10">
        <f>VLOOKUP(A129,'ERPs by country'!$A$9:$F$165,5,FALSE)</f>
        <v>6.0056060880813007E-2</v>
      </c>
      <c r="G129" s="14">
        <f>VLOOKUP(A129,'ERPs by country'!$A$9:$F$165,6,FALSE)</f>
        <v>1.2356060880813008E-2</v>
      </c>
      <c r="H129" s="14">
        <f>VLOOKUP(A129,'Country Tax Rates'!$A$2:$B$159,2,FALSE)</f>
        <v>0.22</v>
      </c>
      <c r="I129" s="15" t="str">
        <f>VLOOKUP(A129,'Regional lookup table'!$A$2:$B$162,2,FALSE)</f>
        <v>Eastern Europe &amp; Russia</v>
      </c>
    </row>
    <row r="130" spans="1:9" ht="16">
      <c r="A130" s="8" t="str">
        <f>'Sovereign Ratings (Moody''s,S&amp;P)'!A130</f>
        <v>Solomon Islands</v>
      </c>
      <c r="B130" s="119">
        <f>VLOOKUP(A130,'Country GDP'!$A$2:$B$181,2,FALSE)</f>
        <v>1583.9647037506109</v>
      </c>
      <c r="C130" s="9" t="str">
        <f>VLOOKUP(A130,'Sovereign Ratings (Moody''s,S&amp;P)'!$A$2:$D$158,4,FALSE)</f>
        <v>Caa1</v>
      </c>
      <c r="D130" s="11" t="e">
        <f>VLOOKUP(A130,'10-year CDS Spreads'!$A$2:$C$158,3,FALSE)</f>
        <v>#N/A</v>
      </c>
      <c r="E130" s="21">
        <f>VLOOKUP(A130,'ERPs by country'!$A$9:$F$165,4,FALSE)</f>
        <v>7.1356768911769716E-2</v>
      </c>
      <c r="F130" s="10">
        <f>VLOOKUP(A130,'ERPs by country'!$A$9:$F$165,5,FALSE)</f>
        <v>0.15718842836053751</v>
      </c>
      <c r="G130" s="14">
        <f>VLOOKUP(A130,'ERPs by country'!$A$9:$F$165,6,FALSE)</f>
        <v>0.10948842836053752</v>
      </c>
      <c r="H130" s="14">
        <f>VLOOKUP(A130,'Country Tax Rates'!$A$2:$B$159,2,FALSE)</f>
        <v>0.3</v>
      </c>
      <c r="I130" s="15" t="str">
        <f>VLOOKUP(A130,'Regional lookup table'!$A$2:$B$162,2,FALSE)</f>
        <v>Asia</v>
      </c>
    </row>
    <row r="131" spans="1:9" ht="16">
      <c r="A131" s="8" t="str">
        <f>'Sovereign Ratings (Moody''s,S&amp;P)'!A131</f>
        <v>South Africa</v>
      </c>
      <c r="B131" s="119">
        <f>VLOOKUP(A131,'Country GDP'!$A$2:$B$181,2,FALSE)</f>
        <v>401144.99837358523</v>
      </c>
      <c r="C131" s="9" t="str">
        <f>VLOOKUP(A131,'Sovereign Ratings (Moody''s,S&amp;P)'!$A$2:$D$158,4,FALSE)</f>
        <v>Ba2</v>
      </c>
      <c r="D131" s="11">
        <f>VLOOKUP(A131,'10-year CDS Spreads'!$A$2:$C$158,3,FALSE)</f>
        <v>3.04E-2</v>
      </c>
      <c r="E131" s="21">
        <f>VLOOKUP(A131,'ERPs by country'!$A$9:$F$165,4,FALSE)</f>
        <v>2.863218313701105E-2</v>
      </c>
      <c r="F131" s="10">
        <f>VLOOKUP(A131,'ERPs by country'!$A$9:$F$165,5,FALSE)</f>
        <v>9.1632660909557379E-2</v>
      </c>
      <c r="G131" s="14">
        <f>VLOOKUP(A131,'ERPs by country'!$A$9:$F$165,6,FALSE)</f>
        <v>4.3932660909557379E-2</v>
      </c>
      <c r="H131" s="14">
        <f>VLOOKUP(A131,'Country Tax Rates'!$A$2:$B$159,2,FALSE)</f>
        <v>0.27</v>
      </c>
      <c r="I131" s="15" t="str">
        <f>VLOOKUP(A131,'Regional lookup table'!$A$2:$B$162,2,FALSE)</f>
        <v>Africa</v>
      </c>
    </row>
    <row r="132" spans="1:9" ht="16">
      <c r="A132" s="8" t="str">
        <f>'Sovereign Ratings (Moody''s,S&amp;P)'!A132</f>
        <v>Spain</v>
      </c>
      <c r="B132" s="119">
        <f>VLOOKUP(A132,'Country GDP'!$A$2:$B$181,2,FALSE)</f>
        <v>1725671.6527421873</v>
      </c>
      <c r="C132" s="9" t="str">
        <f>VLOOKUP(A132,'Sovereign Ratings (Moody''s,S&amp;P)'!$A$2:$D$158,4,FALSE)</f>
        <v>A3</v>
      </c>
      <c r="D132" s="11">
        <f>VLOOKUP(A132,'10-year CDS Spreads'!$A$2:$C$158,3,FALSE)</f>
        <v>4.5999999999999999E-3</v>
      </c>
      <c r="E132" s="21">
        <f>VLOOKUP(A132,'ERPs by country'!$A$9:$F$165,4,FALSE)</f>
        <v>1.1408135468652839E-2</v>
      </c>
      <c r="F132" s="10">
        <f>VLOOKUP(A132,'ERPs by country'!$A$9:$F$165,5,FALSE)</f>
        <v>6.5204419581151765E-2</v>
      </c>
      <c r="G132" s="14">
        <f>VLOOKUP(A132,'ERPs by country'!$A$9:$F$165,6,FALSE)</f>
        <v>1.7504419581151766E-2</v>
      </c>
      <c r="H132" s="14">
        <f>VLOOKUP(A132,'Country Tax Rates'!$A$2:$B$159,2,FALSE)</f>
        <v>0.25</v>
      </c>
      <c r="I132" s="15" t="str">
        <f>VLOOKUP(A132,'Regional lookup table'!$A$2:$B$162,2,FALSE)</f>
        <v>Western Europe</v>
      </c>
    </row>
    <row r="133" spans="1:9" ht="16">
      <c r="A133" s="8" t="str">
        <f>'Sovereign Ratings (Moody''s,S&amp;P)'!A133</f>
        <v>Sri Lanka</v>
      </c>
      <c r="B133" s="119">
        <f>VLOOKUP(A133,'Country GDP'!$A$2:$B$181,2,FALSE)</f>
        <v>98963.185509649949</v>
      </c>
      <c r="C133" s="9" t="str">
        <f>VLOOKUP(A133,'Sovereign Ratings (Moody''s,S&amp;P)'!$A$2:$D$158,4,FALSE)</f>
        <v>Ca</v>
      </c>
      <c r="D133" s="11" t="str">
        <f>VLOOKUP(A133,'10-year CDS Spreads'!$A$2:$C$158,3,FALSE)</f>
        <v>NA</v>
      </c>
      <c r="E133" s="21">
        <f>VLOOKUP(A133,'ERPs by country'!$A$9:$F$165,4,FALSE)</f>
        <v>0.11419319915190733</v>
      </c>
      <c r="F133" s="10">
        <f>VLOOKUP(A133,'ERPs by country'!$A$9:$F$165,5,FALSE)</f>
        <v>0.22291580776819558</v>
      </c>
      <c r="G133" s="14">
        <f>VLOOKUP(A133,'ERPs by country'!$A$9:$F$165,6,FALSE)</f>
        <v>0.17521580776819559</v>
      </c>
      <c r="H133" s="14">
        <f>VLOOKUP(A133,'Country Tax Rates'!$A$2:$B$159,2,FALSE)</f>
        <v>0.3</v>
      </c>
      <c r="I133" s="15" t="str">
        <f>VLOOKUP(A133,'Regional lookup table'!$A$2:$B$162,2,FALSE)</f>
        <v>Asia</v>
      </c>
    </row>
    <row r="134" spans="1:9" ht="16">
      <c r="A134" s="8" t="str">
        <f>'Sovereign Ratings (Moody''s,S&amp;P)'!A134</f>
        <v>St. Maarten</v>
      </c>
      <c r="B134" s="119">
        <f>VLOOKUP(A134,'Country GDP'!$A$2:$B$181,2,FALSE)</f>
        <v>1797.8366659513574</v>
      </c>
      <c r="C134" s="9" t="str">
        <f>VLOOKUP(A134,'Sovereign Ratings (Moody''s,S&amp;P)'!$A$2:$D$158,4,FALSE)</f>
        <v>Ba2</v>
      </c>
      <c r="D134" s="11" t="e">
        <f>VLOOKUP(A134,'10-year CDS Spreads'!$A$2:$C$158,3,FALSE)</f>
        <v>#N/A</v>
      </c>
      <c r="E134" s="21">
        <f>VLOOKUP(A134,'ERPs by country'!$A$9:$F$165,4,FALSE)</f>
        <v>2.863218313701105E-2</v>
      </c>
      <c r="F134" s="10">
        <f>VLOOKUP(A134,'ERPs by country'!$A$9:$F$165,5,FALSE)</f>
        <v>9.1632660909557379E-2</v>
      </c>
      <c r="G134" s="14">
        <f>VLOOKUP(A134,'ERPs by country'!$A$9:$F$165,6,FALSE)</f>
        <v>4.3932660909557379E-2</v>
      </c>
      <c r="H134" s="14">
        <f>VLOOKUP(A134,'Country Tax Rates'!$A$2:$B$159,2,FALSE)</f>
        <v>0.2</v>
      </c>
      <c r="I134" s="15" t="str">
        <f>VLOOKUP(A134,'Regional lookup table'!$A$2:$B$162,2,FALSE)</f>
        <v>Caribbean</v>
      </c>
    </row>
    <row r="135" spans="1:9" ht="16">
      <c r="A135" s="8" t="str">
        <f>'Sovereign Ratings (Moody''s,S&amp;P)'!A135</f>
        <v>St. Vincent &amp; the Grenadines</v>
      </c>
      <c r="B135" s="119">
        <f>VLOOKUP(A135,'Country GDP'!$A$2:$B$181,2,FALSE)</f>
        <v>1157.2074074074073</v>
      </c>
      <c r="C135" s="9" t="str">
        <f>VLOOKUP(A135,'Sovereign Ratings (Moody''s,S&amp;P)'!$A$2:$D$158,4,FALSE)</f>
        <v>B3</v>
      </c>
      <c r="D135" s="11" t="e">
        <f>VLOOKUP(A135,'10-year CDS Spreads'!$A$2:$C$158,3,FALSE)</f>
        <v>#N/A</v>
      </c>
      <c r="E135" s="21">
        <f>VLOOKUP(A135,'ERPs by country'!$A$9:$F$165,4,FALSE)</f>
        <v>6.1849989354559008E-2</v>
      </c>
      <c r="F135" s="10">
        <f>VLOOKUP(A135,'ERPs by country'!$A$9:$F$165,5,FALSE)</f>
        <v>0.14260141204291102</v>
      </c>
      <c r="G135" s="14">
        <f>VLOOKUP(A135,'ERPs by country'!$A$9:$F$165,6,FALSE)</f>
        <v>9.4901412042911026E-2</v>
      </c>
      <c r="H135" s="14">
        <f>VLOOKUP(A135,'Country Tax Rates'!$A$2:$B$159,2,FALSE)</f>
        <v>0.28000000000000003</v>
      </c>
      <c r="I135" s="15" t="str">
        <f>VLOOKUP(A135,'Regional lookup table'!$A$2:$B$162,2,FALSE)</f>
        <v>Caribbean</v>
      </c>
    </row>
    <row r="136" spans="1:9" ht="16">
      <c r="A136" s="8" t="str">
        <f>'Sovereign Ratings (Moody''s,S&amp;P)'!A136</f>
        <v>Suriname</v>
      </c>
      <c r="B136" s="119">
        <f>VLOOKUP(A136,'Country GDP'!$A$2:$B$181,2,FALSE)</f>
        <v>4416.7751120962666</v>
      </c>
      <c r="C136" s="9" t="str">
        <f>VLOOKUP(A136,'Sovereign Ratings (Moody''s,S&amp;P)'!$A$2:$D$158,4,FALSE)</f>
        <v>Caa1</v>
      </c>
      <c r="D136" s="11" t="e">
        <f>VLOOKUP(A136,'10-year CDS Spreads'!$A$2:$C$158,3,FALSE)</f>
        <v>#N/A</v>
      </c>
      <c r="E136" s="21">
        <f>VLOOKUP(A136,'ERPs by country'!$A$9:$F$165,4,FALSE)</f>
        <v>7.1356768911769716E-2</v>
      </c>
      <c r="F136" s="10">
        <f>VLOOKUP(A136,'ERPs by country'!$A$9:$F$165,5,FALSE)</f>
        <v>0.15718842836053751</v>
      </c>
      <c r="G136" s="14">
        <f>VLOOKUP(A136,'ERPs by country'!$A$9:$F$165,6,FALSE)</f>
        <v>0.10948842836053752</v>
      </c>
      <c r="H136" s="14">
        <f>VLOOKUP(A136,'Country Tax Rates'!$A$2:$B$159,2,FALSE)</f>
        <v>0.36</v>
      </c>
      <c r="I136" s="15" t="str">
        <f>VLOOKUP(A136,'Regional lookup table'!$A$2:$B$162,2,FALSE)</f>
        <v>Central and South America</v>
      </c>
    </row>
    <row r="137" spans="1:9" ht="16">
      <c r="A137" s="8" t="str">
        <f>'Sovereign Ratings (Moody''s,S&amp;P)'!A137</f>
        <v>Swaziland</v>
      </c>
      <c r="B137" s="119">
        <f>VLOOKUP(A137,'Country GDP'!$A$2:$B$181,2,FALSE)</f>
        <v>4858.8858407723637</v>
      </c>
      <c r="C137" s="9" t="str">
        <f>VLOOKUP(A137,'Sovereign Ratings (Moody''s,S&amp;P)'!$A$2:$D$158,4,FALSE)</f>
        <v>B2</v>
      </c>
      <c r="D137" s="11" t="e">
        <f>VLOOKUP(A137,'10-year CDS Spreads'!$A$2:$C$158,3,FALSE)</f>
        <v>#N/A</v>
      </c>
      <c r="E137" s="21">
        <f>VLOOKUP(A137,'ERPs by country'!$A$9:$F$165,4,FALSE)</f>
        <v>5.2343209797348314E-2</v>
      </c>
      <c r="F137" s="10">
        <f>VLOOKUP(A137,'ERPs by country'!$A$9:$F$165,5,FALSE)</f>
        <v>0.12801439572528456</v>
      </c>
      <c r="G137" s="14">
        <f>VLOOKUP(A137,'ERPs by country'!$A$9:$F$165,6,FALSE)</f>
        <v>8.0314395725284565E-2</v>
      </c>
      <c r="H137" s="14">
        <f>VLOOKUP(A137,'Country Tax Rates'!$A$2:$B$159,2,FALSE)</f>
        <v>0.25</v>
      </c>
      <c r="I137" s="15" t="str">
        <f>VLOOKUP(A137,'Regional lookup table'!$A$2:$B$162,2,FALSE)</f>
        <v>Africa</v>
      </c>
    </row>
    <row r="138" spans="1:9" ht="16">
      <c r="A138" s="8" t="str">
        <f>'Sovereign Ratings (Moody''s,S&amp;P)'!A138</f>
        <v>Sweden</v>
      </c>
      <c r="B138" s="119">
        <f>VLOOKUP(A138,'Country GDP'!$A$2:$B$181,2,FALSE)</f>
        <v>603715.22426579788</v>
      </c>
      <c r="C138" s="9" t="str">
        <f>VLOOKUP(A138,'Sovereign Ratings (Moody''s,S&amp;P)'!$A$2:$D$158,4,FALSE)</f>
        <v>Aaa</v>
      </c>
      <c r="D138" s="11">
        <f>VLOOKUP(A138,'10-year CDS Spreads'!$A$2:$C$158,3,FALSE)</f>
        <v>1.9E-3</v>
      </c>
      <c r="E138" s="21">
        <f>VLOOKUP(A138,'ERPs by country'!$A$9:$F$165,4,FALSE)</f>
        <v>0</v>
      </c>
      <c r="F138" s="10">
        <f>VLOOKUP(A138,'ERPs by country'!$A$9:$F$165,5,FALSE)</f>
        <v>4.7699999999999999E-2</v>
      </c>
      <c r="G138" s="14">
        <f>VLOOKUP(A138,'ERPs by country'!$A$9:$F$165,6,FALSE)</f>
        <v>0</v>
      </c>
      <c r="H138" s="14">
        <f>VLOOKUP(A138,'Country Tax Rates'!$A$2:$B$159,2,FALSE)</f>
        <v>0.20600000000000002</v>
      </c>
      <c r="I138" s="15" t="str">
        <f>VLOOKUP(A138,'Regional lookup table'!$A$2:$B$162,2,FALSE)</f>
        <v>Western Europe</v>
      </c>
    </row>
    <row r="139" spans="1:9" ht="16">
      <c r="A139" s="8" t="str">
        <f>'Sovereign Ratings (Moody''s,S&amp;P)'!A139</f>
        <v>Switzerland</v>
      </c>
      <c r="B139" s="119">
        <f>VLOOKUP(A139,'Country GDP'!$A$2:$B$181,2,FALSE)</f>
        <v>936564.19804851583</v>
      </c>
      <c r="C139" s="9" t="str">
        <f>VLOOKUP(A139,'Sovereign Ratings (Moody''s,S&amp;P)'!$A$2:$D$158,4,FALSE)</f>
        <v>Aaa</v>
      </c>
      <c r="D139" s="11">
        <f>VLOOKUP(A139,'10-year CDS Spreads'!$A$2:$C$158,3,FALSE)</f>
        <v>1.6999999999999999E-3</v>
      </c>
      <c r="E139" s="21">
        <f>VLOOKUP(A139,'ERPs by country'!$A$9:$F$165,4,FALSE)</f>
        <v>0</v>
      </c>
      <c r="F139" s="10">
        <f>VLOOKUP(A139,'ERPs by country'!$A$9:$F$165,5,FALSE)</f>
        <v>4.7699999999999999E-2</v>
      </c>
      <c r="G139" s="14">
        <f>VLOOKUP(A139,'ERPs by country'!$A$9:$F$165,6,FALSE)</f>
        <v>0</v>
      </c>
      <c r="H139" s="14">
        <f>VLOOKUP(A139,'Country Tax Rates'!$A$2:$B$159,2,FALSE)</f>
        <v>0.1961</v>
      </c>
      <c r="I139" s="15" t="str">
        <f>VLOOKUP(A139,'Regional lookup table'!$A$2:$B$162,2,FALSE)</f>
        <v>Western Europe</v>
      </c>
    </row>
    <row r="140" spans="1:9" ht="16">
      <c r="A140" s="8" t="str">
        <f>'Sovereign Ratings (Moody''s,S&amp;P)'!A140</f>
        <v>Taiwan</v>
      </c>
      <c r="B140" s="119">
        <f>VLOOKUP(A140,'Country GDP'!$A$2:$B$181,2,FALSE)</f>
        <v>791610</v>
      </c>
      <c r="C140" s="9" t="str">
        <f>VLOOKUP(A140,'Sovereign Ratings (Moody''s,S&amp;P)'!$A$2:$D$158,4,FALSE)</f>
        <v>Aa3</v>
      </c>
      <c r="D140" s="11" t="e">
        <f>VLOOKUP(A140,'10-year CDS Spreads'!$A$2:$C$158,3,FALSE)</f>
        <v>#N/A</v>
      </c>
      <c r="E140" s="21">
        <f>VLOOKUP(A140,'ERPs by country'!$A$9:$F$165,4,FALSE)</f>
        <v>5.7040677343264193E-3</v>
      </c>
      <c r="F140" s="10">
        <f>VLOOKUP(A140,'ERPs by country'!$A$9:$F$165,5,FALSE)</f>
        <v>5.6452209790575886E-2</v>
      </c>
      <c r="G140" s="14">
        <f>VLOOKUP(A140,'ERPs by country'!$A$9:$F$165,6,FALSE)</f>
        <v>8.7522097905758829E-3</v>
      </c>
      <c r="H140" s="14">
        <f>VLOOKUP(A140,'Country Tax Rates'!$A$2:$B$159,2,FALSE)</f>
        <v>0.2</v>
      </c>
      <c r="I140" s="15" t="str">
        <f>VLOOKUP(A140,'Regional lookup table'!$A$2:$B$162,2,FALSE)</f>
        <v>Asia</v>
      </c>
    </row>
    <row r="141" spans="1:9" ht="16">
      <c r="A141" s="8" t="str">
        <f>'Sovereign Ratings (Moody''s,S&amp;P)'!A141</f>
        <v>Tajikistan</v>
      </c>
      <c r="B141" s="119">
        <f>VLOOKUP(A141,'Country GDP'!$A$2:$B$181,2,FALSE)</f>
        <v>14204.575548553579</v>
      </c>
      <c r="C141" s="9" t="str">
        <f>VLOOKUP(A141,'Sovereign Ratings (Moody''s,S&amp;P)'!$A$2:$D$158,4,FALSE)</f>
        <v>B2</v>
      </c>
      <c r="D141" s="11" t="e">
        <f>VLOOKUP(A141,'10-year CDS Spreads'!$A$2:$C$158,3,FALSE)</f>
        <v>#N/A</v>
      </c>
      <c r="E141" s="21">
        <f>VLOOKUP(A141,'ERPs by country'!$A$9:$F$165,4,FALSE)</f>
        <v>5.2343209797348314E-2</v>
      </c>
      <c r="F141" s="10">
        <f>VLOOKUP(A141,'ERPs by country'!$A$9:$F$165,5,FALSE)</f>
        <v>0.12801439572528456</v>
      </c>
      <c r="G141" s="14">
        <f>VLOOKUP(A141,'ERPs by country'!$A$9:$F$165,6,FALSE)</f>
        <v>8.0314395725284565E-2</v>
      </c>
      <c r="H141" s="14">
        <f>VLOOKUP(A141,'Country Tax Rates'!$A$2:$B$159,2,FALSE)</f>
        <v>0.18</v>
      </c>
      <c r="I141" s="15" t="str">
        <f>VLOOKUP(A141,'Regional lookup table'!$A$2:$B$162,2,FALSE)</f>
        <v>Eastern Europe &amp; Russia</v>
      </c>
    </row>
    <row r="142" spans="1:9" ht="16">
      <c r="A142" s="8" t="str">
        <f>'Sovereign Ratings (Moody''s,S&amp;P)'!A142</f>
        <v>Tanzania</v>
      </c>
      <c r="B142" s="119">
        <f>VLOOKUP(A142,'Country GDP'!$A$2:$B$181,2,FALSE)</f>
        <v>78844.405385219507</v>
      </c>
      <c r="C142" s="9" t="str">
        <f>VLOOKUP(A142,'Sovereign Ratings (Moody''s,S&amp;P)'!$A$2:$D$158,4,FALSE)</f>
        <v>B1</v>
      </c>
      <c r="D142" s="11" t="e">
        <f>VLOOKUP(A142,'10-year CDS Spreads'!$A$2:$C$158,3,FALSE)</f>
        <v>#N/A</v>
      </c>
      <c r="E142" s="21">
        <f>VLOOKUP(A142,'ERPs by country'!$A$9:$F$165,4,FALSE)</f>
        <v>4.2836430240137613E-2</v>
      </c>
      <c r="F142" s="10">
        <f>VLOOKUP(A142,'ERPs by country'!$A$9:$F$165,5,FALSE)</f>
        <v>0.1134273794076581</v>
      </c>
      <c r="G142" s="14">
        <f>VLOOKUP(A142,'ERPs by country'!$A$9:$F$165,6,FALSE)</f>
        <v>6.572737940765809E-2</v>
      </c>
      <c r="H142" s="14">
        <f>VLOOKUP(A142,'Country Tax Rates'!$A$2:$B$159,2,FALSE)</f>
        <v>0.3</v>
      </c>
      <c r="I142" s="15" t="str">
        <f>VLOOKUP(A142,'Regional lookup table'!$A$2:$B$162,2,FALSE)</f>
        <v>Africa</v>
      </c>
    </row>
    <row r="143" spans="1:9" ht="16">
      <c r="A143" s="8" t="str">
        <f>'Sovereign Ratings (Moody''s,S&amp;P)'!A143</f>
        <v>Thailand</v>
      </c>
      <c r="B143" s="119">
        <f>VLOOKUP(A143,'Country GDP'!$A$2:$B$181,2,FALSE)</f>
        <v>526517.65884168376</v>
      </c>
      <c r="C143" s="9" t="str">
        <f>VLOOKUP(A143,'Sovereign Ratings (Moody''s,S&amp;P)'!$A$2:$D$158,4,FALSE)</f>
        <v>Baa1</v>
      </c>
      <c r="D143" s="11">
        <f>VLOOKUP(A143,'10-year CDS Spreads'!$A$2:$C$158,3,FALSE)</f>
        <v>8.8999999999999999E-3</v>
      </c>
      <c r="E143" s="21">
        <f>VLOOKUP(A143,'ERPs by country'!$A$9:$F$165,4,FALSE)</f>
        <v>1.5210847291537115E-2</v>
      </c>
      <c r="F143" s="10">
        <f>VLOOKUP(A143,'ERPs by country'!$A$9:$F$165,5,FALSE)</f>
        <v>7.1039226108202347E-2</v>
      </c>
      <c r="G143" s="14">
        <f>VLOOKUP(A143,'ERPs by country'!$A$9:$F$165,6,FALSE)</f>
        <v>2.3339226108202347E-2</v>
      </c>
      <c r="H143" s="14">
        <f>VLOOKUP(A143,'Country Tax Rates'!$A$2:$B$159,2,FALSE)</f>
        <v>0.2</v>
      </c>
      <c r="I143" s="15" t="str">
        <f>VLOOKUP(A143,'Regional lookup table'!$A$2:$B$162,2,FALSE)</f>
        <v>Asia</v>
      </c>
    </row>
    <row r="144" spans="1:9" ht="16">
      <c r="A144" s="8" t="str">
        <f>'Sovereign Ratings (Moody''s,S&amp;P)'!A144</f>
        <v>Togo</v>
      </c>
      <c r="B144" s="119">
        <f>VLOOKUP(A144,'Country GDP'!$A$2:$B$181,2,FALSE)</f>
        <v>10651.180146530964</v>
      </c>
      <c r="C144" s="9" t="str">
        <f>VLOOKUP(A144,'Sovereign Ratings (Moody''s,S&amp;P)'!$A$2:$D$158,4,FALSE)</f>
        <v>B3</v>
      </c>
      <c r="D144" s="11" t="e">
        <f>VLOOKUP(A144,'10-year CDS Spreads'!$A$2:$C$158,3,FALSE)</f>
        <v>#N/A</v>
      </c>
      <c r="E144" s="21">
        <f>VLOOKUP(A144,'ERPs by country'!$A$9:$F$165,4,FALSE)</f>
        <v>6.1849989354559008E-2</v>
      </c>
      <c r="F144" s="10">
        <f>VLOOKUP(A144,'ERPs by country'!$A$9:$F$165,5,FALSE)</f>
        <v>0.14260141204291102</v>
      </c>
      <c r="G144" s="14">
        <f>VLOOKUP(A144,'ERPs by country'!$A$9:$F$165,6,FALSE)</f>
        <v>9.4901412042911026E-2</v>
      </c>
      <c r="H144" s="14">
        <f>VLOOKUP(A144,'Country Tax Rates'!$A$2:$B$159,2,FALSE)</f>
        <v>0.27</v>
      </c>
      <c r="I144" s="15" t="str">
        <f>VLOOKUP(A144,'Regional lookup table'!$A$2:$B$162,2,FALSE)</f>
        <v>Africa</v>
      </c>
    </row>
    <row r="145" spans="1:9" ht="16">
      <c r="A145" s="8" t="str">
        <f>'Sovereign Ratings (Moody''s,S&amp;P)'!A145</f>
        <v>Trinidad and Tobago</v>
      </c>
      <c r="B145" s="119">
        <f>VLOOKUP(A145,'Country GDP'!$A$2:$B$181,2,FALSE)</f>
        <v>25633.544529484869</v>
      </c>
      <c r="C145" s="9" t="str">
        <f>VLOOKUP(A145,'Sovereign Ratings (Moody''s,S&amp;P)'!$A$2:$D$158,4,FALSE)</f>
        <v>Ba2</v>
      </c>
      <c r="D145" s="11" t="e">
        <f>VLOOKUP(A145,'10-year CDS Spreads'!$A$2:$C$158,3,FALSE)</f>
        <v>#N/A</v>
      </c>
      <c r="E145" s="21">
        <f>VLOOKUP(A145,'ERPs by country'!$A$9:$F$165,4,FALSE)</f>
        <v>2.863218313701105E-2</v>
      </c>
      <c r="F145" s="10">
        <f>VLOOKUP(A145,'ERPs by country'!$A$9:$F$165,5,FALSE)</f>
        <v>9.1632660909557379E-2</v>
      </c>
      <c r="G145" s="14">
        <f>VLOOKUP(A145,'ERPs by country'!$A$9:$F$165,6,FALSE)</f>
        <v>4.3932660909557379E-2</v>
      </c>
      <c r="H145" s="14">
        <f>VLOOKUP(A145,'Country Tax Rates'!$A$2:$B$159,2,FALSE)</f>
        <v>0.3</v>
      </c>
      <c r="I145" s="15" t="str">
        <f>VLOOKUP(A145,'Regional lookup table'!$A$2:$B$162,2,FALSE)</f>
        <v>Caribbean</v>
      </c>
    </row>
    <row r="146" spans="1:9" ht="16">
      <c r="A146" s="8" t="str">
        <f>'Sovereign Ratings (Moody''s,S&amp;P)'!A146</f>
        <v>Tunisia</v>
      </c>
      <c r="B146" s="119">
        <f>VLOOKUP(A146,'Country GDP'!$A$2:$B$181,2,FALSE)</f>
        <v>51332.285656542161</v>
      </c>
      <c r="C146" s="9" t="str">
        <f>VLOOKUP(A146,'Sovereign Ratings (Moody''s,S&amp;P)'!$A$2:$D$158,4,FALSE)</f>
        <v>Caa1</v>
      </c>
      <c r="D146" s="11">
        <f>VLOOKUP(A146,'10-year CDS Spreads'!$A$2:$C$158,3,FALSE)</f>
        <v>6.9400000000000003E-2</v>
      </c>
      <c r="E146" s="21">
        <f>VLOOKUP(A146,'ERPs by country'!$A$9:$F$165,4,FALSE)</f>
        <v>7.1356768911769716E-2</v>
      </c>
      <c r="F146" s="10">
        <f>VLOOKUP(A146,'ERPs by country'!$A$9:$F$165,5,FALSE)</f>
        <v>0.15718842836053751</v>
      </c>
      <c r="G146" s="14">
        <f>VLOOKUP(A146,'ERPs by country'!$A$9:$F$165,6,FALSE)</f>
        <v>0.10948842836053752</v>
      </c>
      <c r="H146" s="14">
        <f>VLOOKUP(A146,'Country Tax Rates'!$A$2:$B$159,2,FALSE)</f>
        <v>0.15</v>
      </c>
      <c r="I146" s="15" t="str">
        <f>VLOOKUP(A146,'Regional lookup table'!$A$2:$B$162,2,FALSE)</f>
        <v>Africa</v>
      </c>
    </row>
    <row r="147" spans="1:9" ht="16">
      <c r="A147" s="8" t="str">
        <f>'Sovereign Ratings (Moody''s,S&amp;P)'!A147</f>
        <v>Turkey</v>
      </c>
      <c r="B147" s="119">
        <f>VLOOKUP(A147,'Country GDP'!$A$2:$B$181,2,FALSE)</f>
        <v>1359123.7687741222</v>
      </c>
      <c r="C147" s="9" t="str">
        <f>VLOOKUP(A147,'Sovereign Ratings (Moody''s,S&amp;P)'!$A$2:$D$158,4,FALSE)</f>
        <v>Ba3</v>
      </c>
      <c r="D147" s="11">
        <f>VLOOKUP(A147,'10-year CDS Spreads'!$A$2:$C$158,3,FALSE)</f>
        <v>4.0800000000000003E-2</v>
      </c>
      <c r="E147" s="21">
        <f>VLOOKUP(A147,'ERPs by country'!$A$9:$F$165,4,FALSE)</f>
        <v>3.4224406405958516E-2</v>
      </c>
      <c r="F147" s="10">
        <f>VLOOKUP(A147,'ERPs by country'!$A$9:$F$165,5,FALSE)</f>
        <v>0.1002132587434553</v>
      </c>
      <c r="G147" s="14">
        <f>VLOOKUP(A147,'ERPs by country'!$A$9:$F$165,6,FALSE)</f>
        <v>5.2513258743455297E-2</v>
      </c>
      <c r="H147" s="14">
        <f>VLOOKUP(A147,'Country Tax Rates'!$A$2:$B$159,2,FALSE)</f>
        <v>0.25</v>
      </c>
      <c r="I147" s="15" t="str">
        <f>VLOOKUP(A147,'Regional lookup table'!$A$2:$B$162,2,FALSE)</f>
        <v>Western Europe</v>
      </c>
    </row>
    <row r="148" spans="1:9" ht="16">
      <c r="A148" s="8" t="str">
        <f>'Sovereign Ratings (Moody''s,S&amp;P)'!A148</f>
        <v>Turks and Caicos Islands</v>
      </c>
      <c r="B148" s="119">
        <f>VLOOKUP(A148,'Country GDP'!$A$2:$B$181,2,FALSE)</f>
        <v>1745.3779999999999</v>
      </c>
      <c r="C148" s="9" t="str">
        <f>VLOOKUP(A148,'Sovereign Ratings (Moody''s,S&amp;P)'!$A$2:$D$158,4,FALSE)</f>
        <v>Baa1</v>
      </c>
      <c r="D148" s="11" t="e">
        <f>VLOOKUP(A148,'10-year CDS Spreads'!$A$2:$C$158,3,FALSE)</f>
        <v>#N/A</v>
      </c>
      <c r="E148" s="21">
        <f>VLOOKUP(A148,'ERPs by country'!$A$9:$F$165,4,FALSE)</f>
        <v>1.5210847291537115E-2</v>
      </c>
      <c r="F148" s="10">
        <f>VLOOKUP(A148,'ERPs by country'!$A$9:$F$165,5,FALSE)</f>
        <v>7.1039226108202347E-2</v>
      </c>
      <c r="G148" s="14">
        <f>VLOOKUP(A148,'ERPs by country'!$A$9:$F$165,6,FALSE)</f>
        <v>2.3339226108202347E-2</v>
      </c>
      <c r="H148" s="14">
        <f>VLOOKUP(A148,'Country Tax Rates'!$A$2:$B$159,2,FALSE)</f>
        <v>0</v>
      </c>
      <c r="I148" s="15" t="str">
        <f>VLOOKUP(A148,'Regional lookup table'!$A$2:$B$162,2,FALSE)</f>
        <v>Caribbean</v>
      </c>
    </row>
    <row r="149" spans="1:9" ht="16">
      <c r="A149" s="8" t="str">
        <f>'Sovereign Ratings (Moody''s,S&amp;P)'!A149</f>
        <v>Uganda</v>
      </c>
      <c r="B149" s="119">
        <f>VLOOKUP(A149,'Country GDP'!$A$2:$B$181,2,FALSE)</f>
        <v>53911.907086152532</v>
      </c>
      <c r="C149" s="9" t="str">
        <f>VLOOKUP(A149,'Sovereign Ratings (Moody''s,S&amp;P)'!$A$2:$D$158,4,FALSE)</f>
        <v>B3</v>
      </c>
      <c r="D149" s="11" t="e">
        <f>VLOOKUP(A149,'10-year CDS Spreads'!$A$2:$C$158,3,FALSE)</f>
        <v>#N/A</v>
      </c>
      <c r="E149" s="21">
        <f>VLOOKUP(A149,'ERPs by country'!$A$9:$F$165,4,FALSE)</f>
        <v>6.1849989354559008E-2</v>
      </c>
      <c r="F149" s="10">
        <f>VLOOKUP(A149,'ERPs by country'!$A$9:$F$165,5,FALSE)</f>
        <v>0.14260141204291102</v>
      </c>
      <c r="G149" s="14">
        <f>VLOOKUP(A149,'ERPs by country'!$A$9:$F$165,6,FALSE)</f>
        <v>9.4901412042911026E-2</v>
      </c>
      <c r="H149" s="14">
        <f>VLOOKUP(A149,'Country Tax Rates'!$A$2:$B$159,2,FALSE)</f>
        <v>0.3</v>
      </c>
      <c r="I149" s="15" t="str">
        <f>VLOOKUP(A149,'Regional lookup table'!$A$2:$B$162,2,FALSE)</f>
        <v>Africa</v>
      </c>
    </row>
    <row r="150" spans="1:9" ht="16">
      <c r="A150" s="8" t="str">
        <f>'Sovereign Ratings (Moody''s,S&amp;P)'!A150</f>
        <v>Ukraine</v>
      </c>
      <c r="B150" s="119">
        <f>VLOOKUP(A150,'Country GDP'!$A$2:$B$181,2,FALSE)</f>
        <v>190741.26241470463</v>
      </c>
      <c r="C150" s="9" t="str">
        <f>VLOOKUP(A150,'Sovereign Ratings (Moody''s,S&amp;P)'!$A$2:$D$158,4,FALSE)</f>
        <v>Ca</v>
      </c>
      <c r="D150" s="11" t="str">
        <f>VLOOKUP(A150,'10-year CDS Spreads'!$A$2:$C$158,3,FALSE)</f>
        <v>NA</v>
      </c>
      <c r="E150" s="21">
        <f>VLOOKUP(A150,'ERPs by country'!$A$9:$F$165,4,FALSE)</f>
        <v>0.11419319915190733</v>
      </c>
      <c r="F150" s="10">
        <f>VLOOKUP(A150,'ERPs by country'!$A$9:$F$165,5,FALSE)</f>
        <v>0.22291580776819558</v>
      </c>
      <c r="G150" s="14">
        <f>VLOOKUP(A150,'ERPs by country'!$A$9:$F$165,6,FALSE)</f>
        <v>0.17521580776819559</v>
      </c>
      <c r="H150" s="14">
        <f>VLOOKUP(A150,'Country Tax Rates'!$A$2:$B$159,2,FALSE)</f>
        <v>0.18</v>
      </c>
      <c r="I150" s="15" t="str">
        <f>VLOOKUP(A150,'Regional lookup table'!$A$2:$B$162,2,FALSE)</f>
        <v>Eastern Europe &amp; Russia</v>
      </c>
    </row>
    <row r="151" spans="1:9" ht="16">
      <c r="A151" s="8" t="str">
        <f>'Sovereign Ratings (Moody''s,S&amp;P)'!A151</f>
        <v>United Arab Emirates</v>
      </c>
      <c r="B151" s="119">
        <f>VLOOKUP(A151,'Country GDP'!$A$2:$B$181,2,FALSE)</f>
        <v>552324.84683458146</v>
      </c>
      <c r="C151" s="9" t="str">
        <f>VLOOKUP(A151,'Sovereign Ratings (Moody''s,S&amp;P)'!$A$2:$D$158,4,FALSE)</f>
        <v>Aa2</v>
      </c>
      <c r="D151" s="11" t="e">
        <f>VLOOKUP(A151,'10-year CDS Spreads'!$A$2:$C$158,3,FALSE)</f>
        <v>#N/A</v>
      </c>
      <c r="E151" s="21">
        <f>VLOOKUP(A151,'ERPs by country'!$A$9:$F$165,4,FALSE)</f>
        <v>4.6974675459158736E-3</v>
      </c>
      <c r="F151" s="10">
        <f>VLOOKUP(A151,'ERPs by country'!$A$9:$F$165,5,FALSE)</f>
        <v>5.4907702180474256E-2</v>
      </c>
      <c r="G151" s="14">
        <f>VLOOKUP(A151,'ERPs by country'!$A$9:$F$165,6,FALSE)</f>
        <v>7.2077021804742543E-3</v>
      </c>
      <c r="H151" s="14">
        <f>VLOOKUP(A151,'Country Tax Rates'!$A$2:$B$159,2,FALSE)</f>
        <v>0.09</v>
      </c>
      <c r="I151" s="15" t="str">
        <f>VLOOKUP(A151,'Regional lookup table'!$A$2:$B$162,2,FALSE)</f>
        <v>Middle East</v>
      </c>
    </row>
    <row r="152" spans="1:9" ht="16">
      <c r="A152" s="8" t="str">
        <f>'Sovereign Ratings (Moody''s,S&amp;P)'!A152</f>
        <v>United Kingdom</v>
      </c>
      <c r="B152" s="119">
        <f>VLOOKUP(A152,'Country GDP'!$A$2:$B$181,2,FALSE)</f>
        <v>3686033.0444821278</v>
      </c>
      <c r="C152" s="9" t="str">
        <f>VLOOKUP(A152,'Sovereign Ratings (Moody''s,S&amp;P)'!$A$2:$D$158,4,FALSE)</f>
        <v>Aa3</v>
      </c>
      <c r="D152" s="11">
        <f>VLOOKUP(A152,'10-year CDS Spreads'!$A$2:$C$158,3,FALSE)</f>
        <v>4.1999999999999997E-3</v>
      </c>
      <c r="E152" s="21">
        <f>VLOOKUP(A152,'ERPs by country'!$A$9:$F$165,4,FALSE)</f>
        <v>5.7040677343264193E-3</v>
      </c>
      <c r="F152" s="10">
        <f>VLOOKUP(A152,'ERPs by country'!$A$9:$F$165,5,FALSE)</f>
        <v>5.6452209790575886E-2</v>
      </c>
      <c r="G152" s="14">
        <f>VLOOKUP(A152,'ERPs by country'!$A$9:$F$165,6,FALSE)</f>
        <v>8.7522097905758829E-3</v>
      </c>
      <c r="H152" s="14">
        <f>VLOOKUP(A152,'Country Tax Rates'!$A$2:$B$159,2,FALSE)</f>
        <v>0.25</v>
      </c>
      <c r="I152" s="15" t="str">
        <f>VLOOKUP(A152,'Regional lookup table'!$A$2:$B$162,2,FALSE)</f>
        <v>Western Europe</v>
      </c>
    </row>
    <row r="153" spans="1:9" ht="16">
      <c r="A153" s="8" t="str">
        <f>'Sovereign Ratings (Moody''s,S&amp;P)'!A153</f>
        <v>United States</v>
      </c>
      <c r="B153" s="119">
        <f>VLOOKUP(A153,'Country GDP'!$A$2:$B$181,2,FALSE)</f>
        <v>28750956.130731199</v>
      </c>
      <c r="C153" s="9" t="str">
        <f>VLOOKUP(A153,'Sovereign Ratings (Moody''s,S&amp;P)'!$A$2:$D$158,4,FALSE)</f>
        <v>Aa1</v>
      </c>
      <c r="D153" s="11">
        <f>VLOOKUP(A153,'10-year CDS Spreads'!$A$2:$C$158,3,FALSE)</f>
        <v>5.7000000000000002E-3</v>
      </c>
      <c r="E153" s="21">
        <f>VLOOKUP(A153,'ERPs by country'!$A$9:$F$165,4,FALSE)</f>
        <v>2.6131717269259457E-3</v>
      </c>
      <c r="F153" s="10">
        <f>VLOOKUP(A153,'ERPs by country'!$A$9:$F$165,5,FALSE)</f>
        <v>5.0299999999999997E-2</v>
      </c>
      <c r="G153" s="14">
        <f>VLOOKUP(A153,'ERPs by country'!$A$9:$F$165,6,FALSE)</f>
        <v>2.6131717269259457E-3</v>
      </c>
      <c r="H153" s="14">
        <f>VLOOKUP(A153,'Country Tax Rates'!$A$2:$B$159,2,FALSE)</f>
        <v>0.25</v>
      </c>
      <c r="I153" s="15" t="str">
        <f>VLOOKUP(A153,'Regional lookup table'!$A$2:$B$162,2,FALSE)</f>
        <v>North America</v>
      </c>
    </row>
    <row r="154" spans="1:9" ht="15" customHeight="1">
      <c r="A154" s="8" t="str">
        <f>'Sovereign Ratings (Moody''s,S&amp;P)'!A154</f>
        <v>Uruguay</v>
      </c>
      <c r="B154" s="119">
        <f>VLOOKUP(A154,'Country GDP'!$A$2:$B$181,2,FALSE)</f>
        <v>80961.511073579648</v>
      </c>
      <c r="C154" s="9" t="str">
        <f>VLOOKUP(A154,'Sovereign Ratings (Moody''s,S&amp;P)'!$A$2:$D$158,4,FALSE)</f>
        <v>Baa1</v>
      </c>
      <c r="D154" s="11">
        <f>VLOOKUP(A154,'10-year CDS Spreads'!$A$2:$C$158,3,FALSE)</f>
        <v>1.03E-2</v>
      </c>
      <c r="E154" s="21">
        <f>VLOOKUP(A154,'ERPs by country'!$A$9:$F$165,4,FALSE)</f>
        <v>1.5210847291537115E-2</v>
      </c>
      <c r="F154" s="10">
        <f>VLOOKUP(A154,'ERPs by country'!$A$9:$F$165,5,FALSE)</f>
        <v>7.1039226108202347E-2</v>
      </c>
      <c r="G154" s="14">
        <f>VLOOKUP(A154,'ERPs by country'!$A$9:$F$165,6,FALSE)</f>
        <v>2.3339226108202347E-2</v>
      </c>
      <c r="H154" s="14">
        <f>VLOOKUP(A154,'Country Tax Rates'!$A$2:$B$159,2,FALSE)</f>
        <v>0.25</v>
      </c>
      <c r="I154" s="15" t="str">
        <f>VLOOKUP(A154,'Regional lookup table'!$A$2:$B$162,2,FALSE)</f>
        <v>Central and South America</v>
      </c>
    </row>
    <row r="155" spans="1:9" ht="16">
      <c r="A155" s="8" t="str">
        <f>'Sovereign Ratings (Moody''s,S&amp;P)'!A155</f>
        <v>Uzbekistan</v>
      </c>
      <c r="B155" s="119">
        <f>VLOOKUP(A155,'Country GDP'!$A$2:$B$181,2,FALSE)</f>
        <v>114965.29346661102</v>
      </c>
      <c r="C155" s="9" t="str">
        <f>VLOOKUP(A155,'Sovereign Ratings (Moody''s,S&amp;P)'!$A$2:$D$158,4,FALSE)</f>
        <v>Ba3</v>
      </c>
      <c r="D155" s="11" t="e">
        <f>VLOOKUP(A155,'10-year CDS Spreads'!$A$2:$C$158,3,FALSE)</f>
        <v>#N/A</v>
      </c>
      <c r="E155" s="21">
        <f>VLOOKUP(A155,'ERPs by country'!$A$9:$F$165,4,FALSE)</f>
        <v>3.4224406405958516E-2</v>
      </c>
      <c r="F155" s="10">
        <f>VLOOKUP(A155,'ERPs by country'!$A$9:$F$165,5,FALSE)</f>
        <v>0.1002132587434553</v>
      </c>
      <c r="G155" s="14">
        <f>VLOOKUP(A155,'ERPs by country'!$A$9:$F$165,6,FALSE)</f>
        <v>5.2513258743455297E-2</v>
      </c>
      <c r="H155" s="14">
        <f>VLOOKUP(A155,'Country Tax Rates'!$A$2:$B$159,2,FALSE)</f>
        <v>0.15</v>
      </c>
      <c r="I155" s="15" t="str">
        <f>VLOOKUP(A155,'Regional lookup table'!$A$2:$B$162,2,FALSE)</f>
        <v>Eastern Europe &amp; Russia</v>
      </c>
    </row>
    <row r="156" spans="1:9" ht="16">
      <c r="A156" s="8" t="str">
        <f>'Sovereign Ratings (Moody''s,S&amp;P)'!A156</f>
        <v>Venezuela</v>
      </c>
      <c r="B156" s="119">
        <f>VLOOKUP(A156,'Country GDP'!$A$2:$B$181,2,FALSE)</f>
        <v>119802.96325778269</v>
      </c>
      <c r="C156" s="9" t="str">
        <f>VLOOKUP(A156,'Sovereign Ratings (Moody''s,S&amp;P)'!$A$2:$D$158,4,FALSE)</f>
        <v>C</v>
      </c>
      <c r="D156" s="11" t="str">
        <f>VLOOKUP(A156,'10-year CDS Spreads'!$A$2:$C$158,3,FALSE)</f>
        <v>NA</v>
      </c>
      <c r="E156" s="21">
        <f>VLOOKUP(A156,'ERPs by country'!$A$9:$F$165,4,FALSE)</f>
        <v>0.17499999999999999</v>
      </c>
      <c r="F156" s="10">
        <f>VLOOKUP(A156,'ERPs by country'!$A$9:$F$165,5,FALSE)</f>
        <v>0.31621657180253437</v>
      </c>
      <c r="G156" s="14">
        <f>VLOOKUP(A156,'ERPs by country'!$A$9:$F$165,6,FALSE)</f>
        <v>0.26851657180253435</v>
      </c>
      <c r="H156" s="14">
        <f>VLOOKUP(A156,'Country Tax Rates'!$A$2:$B$159,2,FALSE)</f>
        <v>0.34</v>
      </c>
      <c r="I156" s="15" t="str">
        <f>VLOOKUP(A156,'Regional lookup table'!$A$2:$B$162,2,FALSE)</f>
        <v>Central and South America</v>
      </c>
    </row>
    <row r="157" spans="1:9" ht="16">
      <c r="A157" s="8" t="str">
        <f>'Sovereign Ratings (Moody''s,S&amp;P)'!A157</f>
        <v>Vietnam</v>
      </c>
      <c r="B157" s="119">
        <f>VLOOKUP(A157,'Country GDP'!$A$2:$B$181,2,FALSE)</f>
        <v>476388.23030717525</v>
      </c>
      <c r="C157" s="9" t="str">
        <f>VLOOKUP(A157,'Sovereign Ratings (Moody''s,S&amp;P)'!$A$2:$D$158,4,FALSE)</f>
        <v>Ba2</v>
      </c>
      <c r="D157" s="11">
        <f>VLOOKUP(A157,'10-year CDS Spreads'!$A$2:$C$158,3,FALSE)</f>
        <v>1.5900000000000001E-2</v>
      </c>
      <c r="E157" s="21">
        <f>VLOOKUP(A157,'ERPs by country'!$A$9:$F$165,4,FALSE)</f>
        <v>2.863218313701105E-2</v>
      </c>
      <c r="F157" s="10">
        <f>VLOOKUP(A157,'ERPs by country'!$A$9:$F$165,5,FALSE)</f>
        <v>9.1632660909557379E-2</v>
      </c>
      <c r="G157" s="14">
        <f>VLOOKUP(A157,'ERPs by country'!$A$9:$F$165,6,FALSE)</f>
        <v>4.3932660909557379E-2</v>
      </c>
      <c r="H157" s="14">
        <f>VLOOKUP(A157,'Country Tax Rates'!$A$2:$B$159,2,FALSE)</f>
        <v>0.2</v>
      </c>
      <c r="I157" s="15" t="str">
        <f>VLOOKUP(A157,'Regional lookup table'!$A$2:$B$162,2,FALSE)</f>
        <v>Asia</v>
      </c>
    </row>
    <row r="158" spans="1:9" ht="16">
      <c r="A158" s="8" t="str">
        <f>'Sovereign Ratings (Moody''s,S&amp;P)'!A158</f>
        <v>Zambia</v>
      </c>
      <c r="B158" s="119">
        <f>VLOOKUP(A158,'Country GDP'!$A$2:$B$181,2,FALSE)</f>
        <v>25303.185342251072</v>
      </c>
      <c r="C158" s="9" t="str">
        <f>VLOOKUP(A158,'Sovereign Ratings (Moody''s,S&amp;P)'!$A$2:$D$158,4,FALSE)</f>
        <v>Caa2</v>
      </c>
      <c r="D158" s="11">
        <f>VLOOKUP(A158,'10-year CDS Spreads'!$A$2:$C$158,3,FALSE)</f>
        <v>5.1299999999999998E-2</v>
      </c>
      <c r="E158" s="21">
        <f>VLOOKUP(A158,'ERPs by country'!$A$9:$F$165,4,FALSE)</f>
        <v>8.5672860480275226E-2</v>
      </c>
      <c r="F158" s="10">
        <f>VLOOKUP(A158,'ERPs by country'!$A$9:$F$165,5,FALSE)</f>
        <v>0.17915475881531617</v>
      </c>
      <c r="G158" s="14">
        <f>VLOOKUP(A158,'ERPs by country'!$A$9:$F$165,6,FALSE)</f>
        <v>0.13145475881531618</v>
      </c>
      <c r="H158" s="14">
        <f>VLOOKUP(A158,'Country Tax Rates'!$A$2:$B$159,2,FALSE)</f>
        <v>0.3</v>
      </c>
      <c r="I158" s="15" t="str">
        <f>VLOOKUP(A158,'Regional lookup table'!$A$2:$B$162,2,FALSE)</f>
        <v>Africa</v>
      </c>
    </row>
  </sheetData>
  <phoneticPr fontId="13" type="noConversion"/>
  <pageMargins left="0.75" right="0.75" top="1" bottom="1" header="0.5" footer="0.5"/>
  <pageSetup orientation="portrait" horizontalDpi="4294967292" verticalDpi="429496729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58"/>
  <sheetViews>
    <sheetView topLeftCell="A124" zoomScaleNormal="100" workbookViewId="0">
      <selection activeCell="B35" sqref="B35"/>
    </sheetView>
  </sheetViews>
  <sheetFormatPr baseColWidth="10" defaultRowHeight="16"/>
  <cols>
    <col min="1" max="1" width="24.83203125" style="38" bestFit="1" customWidth="1"/>
    <col min="2" max="2" width="16.1640625" style="38" bestFit="1" customWidth="1"/>
    <col min="3" max="3" width="16.1640625" style="38" customWidth="1"/>
    <col min="4" max="4" width="19.6640625" style="38" bestFit="1" customWidth="1"/>
    <col min="5" max="5" width="19.33203125" style="202" customWidth="1"/>
  </cols>
  <sheetData>
    <row r="1" spans="1:16" ht="17">
      <c r="A1" s="66" t="s">
        <v>75</v>
      </c>
      <c r="B1" s="67" t="s">
        <v>266</v>
      </c>
      <c r="C1" s="67" t="s">
        <v>547</v>
      </c>
      <c r="D1" s="217" t="s">
        <v>267</v>
      </c>
      <c r="E1" s="221" t="s">
        <v>539</v>
      </c>
    </row>
    <row r="2" spans="1:16">
      <c r="A2" s="46" t="str">
        <f>'Ratings worksheet'!A2</f>
        <v>Abu Dhabi</v>
      </c>
      <c r="B2" s="56" t="e">
        <f>VLOOKUP(A2,'Ratings worksheet'!$A$2:$C$159,2,FALSE)</f>
        <v>#N/A</v>
      </c>
      <c r="C2" s="56" t="e">
        <f>VLOOKUP(A2,'Ratings worksheet'!$E$2:$H$159,4,FALSE)</f>
        <v>#N/A</v>
      </c>
      <c r="D2" s="218" t="str">
        <f>IF(E2="NR",VLOOKUP(B2,'Sovereign Ratings (Moody''s,S&amp;P)'!$G$9:$H$34,2,FALSE),E2)</f>
        <v>Aa2</v>
      </c>
      <c r="E2" s="220" t="str">
        <f>VLOOKUP(A2,'Ratings worksheet'!$A$2:$C$159,3,FALSE)</f>
        <v>Aa2</v>
      </c>
      <c r="G2" s="255" t="s">
        <v>93</v>
      </c>
      <c r="H2" s="255"/>
      <c r="I2" s="255"/>
      <c r="J2" s="255"/>
      <c r="K2" s="255"/>
      <c r="L2" s="255"/>
      <c r="M2" s="255"/>
      <c r="N2" s="255"/>
      <c r="O2" s="255"/>
      <c r="P2" s="255"/>
    </row>
    <row r="3" spans="1:16">
      <c r="A3" s="46" t="str">
        <f>'Ratings worksheet'!A3</f>
        <v>Albania</v>
      </c>
      <c r="B3" s="56" t="str">
        <f>VLOOKUP(A3,'Ratings worksheet'!$A$2:$C$159,2,FALSE)</f>
        <v>BB</v>
      </c>
      <c r="C3" s="56" t="str">
        <f>VLOOKUP(A3,'Ratings worksheet'!$E$2:$H$159,4,FALSE)</f>
        <v>NR</v>
      </c>
      <c r="D3" s="218" t="str">
        <f>IF(E3="NR",VLOOKUP(B3,'Sovereign Ratings (Moody''s,S&amp;P)'!$G$9:$H$34,2,FALSE),E3)</f>
        <v>Ba3</v>
      </c>
      <c r="E3" s="220" t="str">
        <f>VLOOKUP(A3,'Ratings worksheet'!$A$2:$C$159,3,FALSE)</f>
        <v>Ba3</v>
      </c>
      <c r="G3" s="255" t="s">
        <v>226</v>
      </c>
      <c r="H3" s="255"/>
      <c r="I3" s="255"/>
      <c r="J3" s="255"/>
      <c r="K3" s="255"/>
      <c r="L3" s="255"/>
      <c r="M3" s="255"/>
      <c r="N3" s="255"/>
      <c r="O3" s="255"/>
      <c r="P3" s="255"/>
    </row>
    <row r="4" spans="1:16">
      <c r="A4" s="46" t="str">
        <f>'Ratings worksheet'!A4</f>
        <v>Andorra (Principality of)</v>
      </c>
      <c r="B4" s="56" t="str">
        <f>VLOOKUP(A4,'Ratings worksheet'!$A$2:$C$159,2,FALSE)</f>
        <v>A-</v>
      </c>
      <c r="C4" s="56" t="e">
        <f>VLOOKUP(A4,'Ratings worksheet'!$E$2:$H$159,4,FALSE)</f>
        <v>#N/A</v>
      </c>
      <c r="D4" s="218" t="str">
        <f>IF(E4="NR",VLOOKUP(B4,'Sovereign Ratings (Moody''s,S&amp;P)'!$G$9:$H$34,2,FALSE),E4)</f>
        <v>Baa1</v>
      </c>
      <c r="E4" s="220" t="str">
        <f>VLOOKUP(A4,'Ratings worksheet'!$A$2:$C$159,3,FALSE)</f>
        <v>Baa1</v>
      </c>
      <c r="G4" s="256" t="s">
        <v>227</v>
      </c>
      <c r="H4" s="256"/>
      <c r="I4" s="256"/>
      <c r="J4" s="256"/>
      <c r="K4" s="256"/>
      <c r="L4" s="256"/>
      <c r="M4" s="256"/>
      <c r="N4" s="256"/>
      <c r="O4" s="256"/>
      <c r="P4" s="256"/>
    </row>
    <row r="5" spans="1:16">
      <c r="A5" s="46" t="str">
        <f>'Ratings worksheet'!A5</f>
        <v>Angola</v>
      </c>
      <c r="B5" s="56" t="str">
        <f>VLOOKUP(A5,'Ratings worksheet'!$A$2:$C$159,2,FALSE)</f>
        <v>B-</v>
      </c>
      <c r="C5" s="56" t="str">
        <f>VLOOKUP(A5,'Ratings worksheet'!$E$2:$H$159,4,FALSE)</f>
        <v>B-</v>
      </c>
      <c r="D5" s="218" t="str">
        <f>IF(E5="NR",VLOOKUP(B5,'Sovereign Ratings (Moody''s,S&amp;P)'!$G$9:$H$34,2,FALSE),E5)</f>
        <v>B3</v>
      </c>
      <c r="E5" s="220" t="str">
        <f>VLOOKUP(A5,'Ratings worksheet'!$A$2:$C$159,3,FALSE)</f>
        <v>B3</v>
      </c>
      <c r="G5" s="256" t="s">
        <v>228</v>
      </c>
      <c r="H5" s="256"/>
      <c r="I5" s="256"/>
      <c r="J5" s="256"/>
      <c r="K5" s="256"/>
      <c r="L5" s="256"/>
      <c r="M5" s="256"/>
      <c r="N5" s="256"/>
      <c r="O5" s="256"/>
      <c r="P5" s="256"/>
    </row>
    <row r="6" spans="1:16">
      <c r="A6" s="46" t="str">
        <f>'Ratings worksheet'!A6</f>
        <v>Argentina</v>
      </c>
      <c r="B6" s="56" t="str">
        <f>VLOOKUP(A6,'Ratings worksheet'!$A$2:$C$159,2,FALSE)</f>
        <v>CCC+</v>
      </c>
      <c r="C6" s="56" t="str">
        <f>VLOOKUP(A6,'Ratings worksheet'!$E$2:$H$159,4,FALSE)</f>
        <v>CCC+</v>
      </c>
      <c r="D6" s="218" t="str">
        <f>IF(E6="NR",VLOOKUP(B6,'Sovereign Ratings (Moody''s,S&amp;P)'!$G$9:$H$34,2,FALSE),E6)</f>
        <v>Caa1</v>
      </c>
      <c r="E6" s="220" t="str">
        <f>VLOOKUP(A6,'Ratings worksheet'!$A$2:$C$159,3,FALSE)</f>
        <v>Caa1</v>
      </c>
      <c r="G6" s="35" t="s">
        <v>249</v>
      </c>
    </row>
    <row r="7" spans="1:16">
      <c r="A7" s="46" t="str">
        <f>'Ratings worksheet'!A7</f>
        <v>Armenia</v>
      </c>
      <c r="B7" s="56" t="str">
        <f>VLOOKUP(A7,'Ratings worksheet'!$A$2:$C$159,2,FALSE)</f>
        <v>BB-</v>
      </c>
      <c r="C7" s="56" t="str">
        <f>VLOOKUP(A7,'Ratings worksheet'!$E$2:$H$159,4,FALSE)</f>
        <v>BB-</v>
      </c>
      <c r="D7" s="218" t="str">
        <f>IF(E7="NR",VLOOKUP(B7,'Sovereign Ratings (Moody''s,S&amp;P)'!$G$9:$H$34,2,FALSE),E7)</f>
        <v>Ba3</v>
      </c>
      <c r="E7" s="220" t="str">
        <f>VLOOKUP(A7,'Ratings worksheet'!$A$2:$C$159,3,FALSE)</f>
        <v>Ba3</v>
      </c>
      <c r="G7" s="35" t="s">
        <v>229</v>
      </c>
    </row>
    <row r="8" spans="1:16">
      <c r="A8" s="46" t="str">
        <f>'Ratings worksheet'!A8</f>
        <v>Aruba</v>
      </c>
      <c r="B8" s="56" t="str">
        <f>VLOOKUP(A8,'Ratings worksheet'!$A$2:$C$159,2,FALSE)</f>
        <v>BBB+</v>
      </c>
      <c r="C8" s="56" t="str">
        <f>VLOOKUP(A8,'Ratings worksheet'!$E$2:$H$159,4,FALSE)</f>
        <v>BBB-</v>
      </c>
      <c r="D8" s="218" t="str">
        <f>IF(E8="NR",VLOOKUP(B8,'Sovereign Ratings (Moody''s,S&amp;P)'!$G$9:$H$34,2,FALSE),E8)</f>
        <v>Baa3</v>
      </c>
      <c r="E8" s="220" t="str">
        <f>VLOOKUP(A8,'Ratings worksheet'!$A$2:$C$159,3,FALSE)</f>
        <v>Baa3</v>
      </c>
      <c r="G8" s="28" t="s">
        <v>546</v>
      </c>
      <c r="H8" s="29" t="s">
        <v>231</v>
      </c>
    </row>
    <row r="9" spans="1:16">
      <c r="A9" s="46" t="str">
        <f>'Ratings worksheet'!A9</f>
        <v>Australia</v>
      </c>
      <c r="B9" s="56" t="str">
        <f>VLOOKUP(A9,'Ratings worksheet'!$A$2:$C$159,2,FALSE)</f>
        <v>AAA</v>
      </c>
      <c r="C9" s="56" t="str">
        <f>VLOOKUP(A9,'Ratings worksheet'!$E$2:$H$159,4,FALSE)</f>
        <v>AAA</v>
      </c>
      <c r="D9" s="218" t="str">
        <f>IF(E9="NR",VLOOKUP(B9,'Sovereign Ratings (Moody''s,S&amp;P)'!$G$9:$H$34,2,FALSE),E9)</f>
        <v>Aaa</v>
      </c>
      <c r="E9" s="220" t="str">
        <f>VLOOKUP(A9,'Ratings worksheet'!$A$2:$C$159,3,FALSE)</f>
        <v>Aaa</v>
      </c>
      <c r="G9" s="30" t="s">
        <v>221</v>
      </c>
      <c r="H9" s="15" t="s">
        <v>42</v>
      </c>
    </row>
    <row r="10" spans="1:16">
      <c r="A10" s="46" t="str">
        <f>'Ratings worksheet'!A10</f>
        <v>Austria</v>
      </c>
      <c r="B10" s="56" t="str">
        <f>VLOOKUP(A10,'Ratings worksheet'!$A$2:$C$159,2,FALSE)</f>
        <v>AA+</v>
      </c>
      <c r="C10" s="56" t="str">
        <f>VLOOKUP(A10,'Ratings worksheet'!$E$2:$H$159,4,FALSE)</f>
        <v>AA</v>
      </c>
      <c r="D10" s="218" t="str">
        <f>IF(E10="NR",VLOOKUP(B10,'Sovereign Ratings (Moody''s,S&amp;P)'!$G$9:$H$34,2,FALSE),E10)</f>
        <v>Aa1</v>
      </c>
      <c r="E10" s="220" t="str">
        <f>VLOOKUP(A10,'Ratings worksheet'!$A$2:$C$159,3,FALSE)</f>
        <v>Aa1</v>
      </c>
      <c r="G10" s="30" t="s">
        <v>195</v>
      </c>
      <c r="H10" s="15" t="s">
        <v>43</v>
      </c>
    </row>
    <row r="11" spans="1:16">
      <c r="A11" s="46" t="str">
        <f>'Ratings worksheet'!A11</f>
        <v>Azerbaijan</v>
      </c>
      <c r="B11" s="56" t="str">
        <f>VLOOKUP(A11,'Ratings worksheet'!$A$2:$C$159,2,FALSE)</f>
        <v>NR</v>
      </c>
      <c r="C11" s="56" t="str">
        <f>VLOOKUP(A11,'Ratings worksheet'!$E$2:$H$159,4,FALSE)</f>
        <v>BBB-</v>
      </c>
      <c r="D11" s="218" t="str">
        <f>IF(E11="NR",VLOOKUP(B11,'Sovereign Ratings (Moody''s,S&amp;P)'!$G$9:$H$34,2,FALSE),E11)</f>
        <v>Baa3</v>
      </c>
      <c r="E11" s="220" t="str">
        <f>VLOOKUP(A11,'Ratings worksheet'!$A$2:$C$159,3,FALSE)</f>
        <v>Baa3</v>
      </c>
      <c r="G11" s="30" t="s">
        <v>219</v>
      </c>
      <c r="H11" s="15" t="s">
        <v>41</v>
      </c>
    </row>
    <row r="12" spans="1:16">
      <c r="A12" s="46" t="str">
        <f>'Ratings worksheet'!A12</f>
        <v>Bahamas</v>
      </c>
      <c r="B12" s="56" t="str">
        <f>VLOOKUP(A12,'Ratings worksheet'!$A$2:$C$159,2,FALSE)</f>
        <v>BB-</v>
      </c>
      <c r="C12" s="56" t="str">
        <f>VLOOKUP(A12,'Ratings worksheet'!$E$2:$H$159,4,FALSE)</f>
        <v>BB-</v>
      </c>
      <c r="D12" s="218" t="str">
        <f>IF(E12="NR",VLOOKUP(B12,'Sovereign Ratings (Moody''s,S&amp;P)'!$G$9:$H$34,2,FALSE),E12)</f>
        <v>B1</v>
      </c>
      <c r="E12" s="220" t="str">
        <f>VLOOKUP(A12,'Ratings worksheet'!$A$2:$C$159,3,FALSE)</f>
        <v>B1</v>
      </c>
      <c r="G12" s="30" t="s">
        <v>204</v>
      </c>
      <c r="H12" s="15" t="s">
        <v>45</v>
      </c>
    </row>
    <row r="13" spans="1:16">
      <c r="A13" s="46" t="str">
        <f>'Ratings worksheet'!A13</f>
        <v>Bahrain</v>
      </c>
      <c r="B13" s="56" t="str">
        <f>VLOOKUP(A13,'Ratings worksheet'!$A$2:$C$159,2,FALSE)</f>
        <v>B</v>
      </c>
      <c r="C13" s="56" t="str">
        <f>VLOOKUP(A13,'Ratings worksheet'!$E$2:$H$159,4,FALSE)</f>
        <v>B+</v>
      </c>
      <c r="D13" s="218" t="str">
        <f>IF(E13="NR",VLOOKUP(B13,'Sovereign Ratings (Moody''s,S&amp;P)'!$G$9:$H$34,2,FALSE),E13)</f>
        <v>B2</v>
      </c>
      <c r="E13" s="220" t="str">
        <f>VLOOKUP(A13,'Ratings worksheet'!$A$2:$C$159,3,FALSE)</f>
        <v>B2</v>
      </c>
      <c r="G13" s="30" t="s">
        <v>207</v>
      </c>
      <c r="H13" s="15" t="s">
        <v>46</v>
      </c>
    </row>
    <row r="14" spans="1:16">
      <c r="A14" s="46" t="str">
        <f>'Ratings worksheet'!A14</f>
        <v>Bangladesh</v>
      </c>
      <c r="B14" s="56" t="str">
        <f>VLOOKUP(A14,'Ratings worksheet'!$A$2:$C$159,2,FALSE)</f>
        <v>B+</v>
      </c>
      <c r="C14" s="56" t="str">
        <f>VLOOKUP(A14,'Ratings worksheet'!$E$2:$H$159,4,FALSE)</f>
        <v>B+</v>
      </c>
      <c r="D14" s="218" t="str">
        <f>IF(E14="NR",VLOOKUP(B14,'Sovereign Ratings (Moody''s,S&amp;P)'!$G$9:$H$34,2,FALSE),E14)</f>
        <v>B2</v>
      </c>
      <c r="E14" s="220" t="str">
        <f>VLOOKUP(A14,'Ratings worksheet'!$A$2:$C$159,3,FALSE)</f>
        <v>B2</v>
      </c>
      <c r="G14" s="30" t="s">
        <v>201</v>
      </c>
      <c r="H14" s="15" t="s">
        <v>44</v>
      </c>
    </row>
    <row r="15" spans="1:16">
      <c r="A15" s="46" t="str">
        <f>'Ratings worksheet'!A15</f>
        <v>Barbados</v>
      </c>
      <c r="B15" s="56" t="str">
        <f>VLOOKUP(A15,'Ratings worksheet'!$A$2:$C$159,2,FALSE)</f>
        <v>B+</v>
      </c>
      <c r="C15" s="56" t="str">
        <f>VLOOKUP(A15,'Ratings worksheet'!$E$2:$H$159,4,FALSE)</f>
        <v>B+</v>
      </c>
      <c r="D15" s="218" t="str">
        <f>IF(E15="NR",VLOOKUP(B15,'Sovereign Ratings (Moody''s,S&amp;P)'!$G$9:$H$34,2,FALSE),E15)</f>
        <v>B2</v>
      </c>
      <c r="E15" s="220" t="str">
        <f>VLOOKUP(A15,'Ratings worksheet'!$A$2:$C$159,3,FALSE)</f>
        <v>B2</v>
      </c>
      <c r="G15" s="30" t="s">
        <v>200</v>
      </c>
      <c r="H15" s="15" t="s">
        <v>47</v>
      </c>
    </row>
    <row r="16" spans="1:16">
      <c r="A16" s="46" t="str">
        <f>'Ratings worksheet'!A16</f>
        <v>Belarus</v>
      </c>
      <c r="B16" s="56" t="str">
        <f>VLOOKUP(A16,'Ratings worksheet'!$A$2:$C$159,2,FALSE)</f>
        <v>NR</v>
      </c>
      <c r="C16" s="56" t="str">
        <f>VLOOKUP(A16,'Ratings worksheet'!$E$2:$H$159,4,FALSE)</f>
        <v>CCC</v>
      </c>
      <c r="D16" s="218" t="str">
        <f>IF(E16="NR",VLOOKUP(B16,'Sovereign Ratings (Moody''s,S&amp;P)'!$G$9:$H$34,2,FALSE),E16)</f>
        <v>C</v>
      </c>
      <c r="E16" s="220" t="str">
        <f>VLOOKUP(A16,'Ratings worksheet'!$A$2:$C$159,3,FALSE)</f>
        <v>C</v>
      </c>
      <c r="G16" s="30" t="s">
        <v>206</v>
      </c>
      <c r="H16" s="15" t="s">
        <v>49</v>
      </c>
    </row>
    <row r="17" spans="1:8">
      <c r="A17" s="46" t="str">
        <f>'Ratings worksheet'!A17</f>
        <v>Belgium</v>
      </c>
      <c r="B17" s="56" t="str">
        <f>VLOOKUP(A17,'Ratings worksheet'!$A$2:$C$159,2,FALSE)</f>
        <v>AA</v>
      </c>
      <c r="C17" s="56" t="str">
        <f>VLOOKUP(A17,'Ratings worksheet'!$E$2:$H$159,4,FALSE)</f>
        <v>A+</v>
      </c>
      <c r="D17" s="218" t="str">
        <f>IF(E17="NR",VLOOKUP(B17,'Sovereign Ratings (Moody''s,S&amp;P)'!$G$9:$H$34,2,FALSE),E17)</f>
        <v>Aa3</v>
      </c>
      <c r="E17" s="220" t="str">
        <f>VLOOKUP(A17,'Ratings worksheet'!$A$2:$C$159,3,FALSE)</f>
        <v>Aa3</v>
      </c>
      <c r="G17" s="30" t="s">
        <v>197</v>
      </c>
      <c r="H17" s="15" t="s">
        <v>78</v>
      </c>
    </row>
    <row r="18" spans="1:8">
      <c r="A18" s="46" t="str">
        <f>'Ratings worksheet'!A18</f>
        <v>Belize</v>
      </c>
      <c r="B18" s="56" t="str">
        <f>VLOOKUP(A18,'Ratings worksheet'!$A$2:$C$159,2,FALSE)</f>
        <v>B-</v>
      </c>
      <c r="C18" s="56" t="str">
        <f>VLOOKUP(A18,'Ratings worksheet'!$E$2:$H$159,4,FALSE)</f>
        <v>NR</v>
      </c>
      <c r="D18" s="218" t="str">
        <f>IF(E18="NR",VLOOKUP(B18,'Sovereign Ratings (Moody''s,S&amp;P)'!$G$9:$H$34,2,FALSE),E18)</f>
        <v>Caa1</v>
      </c>
      <c r="E18" s="220" t="str">
        <f>VLOOKUP(A18,'Ratings worksheet'!$A$2:$C$159,3,FALSE)</f>
        <v>Caa1</v>
      </c>
      <c r="G18" s="30" t="s">
        <v>193</v>
      </c>
      <c r="H18" s="15" t="s">
        <v>48</v>
      </c>
    </row>
    <row r="19" spans="1:8">
      <c r="A19" s="46" t="str">
        <f>'Ratings worksheet'!A19</f>
        <v>Benin</v>
      </c>
      <c r="B19" s="56" t="str">
        <f>VLOOKUP(A19,'Ratings worksheet'!$A$2:$C$159,2,FALSE)</f>
        <v>BB-</v>
      </c>
      <c r="C19" s="56" t="str">
        <f>VLOOKUP(A19,'Ratings worksheet'!$E$2:$H$159,4,FALSE)</f>
        <v>B+</v>
      </c>
      <c r="D19" s="218" t="str">
        <f>IF(E19="NR",VLOOKUP(B19,'Sovereign Ratings (Moody''s,S&amp;P)'!$G$9:$H$34,2,FALSE),E19)</f>
        <v>B1</v>
      </c>
      <c r="E19" s="220" t="str">
        <f>VLOOKUP(A19,'Ratings worksheet'!$A$2:$C$159,3,FALSE)</f>
        <v>B1</v>
      </c>
      <c r="G19" s="30" t="s">
        <v>212</v>
      </c>
      <c r="H19" s="15" t="s">
        <v>80</v>
      </c>
    </row>
    <row r="20" spans="1:8">
      <c r="A20" s="46" t="str">
        <f>'Ratings worksheet'!A20</f>
        <v>Bermuda</v>
      </c>
      <c r="B20" s="56" t="str">
        <f>VLOOKUP(A20,'Ratings worksheet'!$A$2:$C$159,2,FALSE)</f>
        <v>A+</v>
      </c>
      <c r="C20" s="56" t="str">
        <f>VLOOKUP(A20,'Ratings worksheet'!$E$2:$H$159,4,FALSE)</f>
        <v>NR</v>
      </c>
      <c r="D20" s="218" t="str">
        <f>IF(E20="NR",VLOOKUP(B20,'Sovereign Ratings (Moody''s,S&amp;P)'!$G$9:$H$34,2,FALSE),E20)</f>
        <v>A2</v>
      </c>
      <c r="E20" s="220" t="str">
        <f>VLOOKUP(A20,'Ratings worksheet'!$A$2:$C$159,3,FALSE)</f>
        <v>A2</v>
      </c>
      <c r="G20" s="30" t="s">
        <v>196</v>
      </c>
      <c r="H20" s="15" t="s">
        <v>81</v>
      </c>
    </row>
    <row r="21" spans="1:8">
      <c r="A21" s="46" t="str">
        <f>'Ratings worksheet'!A21</f>
        <v>Bolivia</v>
      </c>
      <c r="B21" s="56" t="str">
        <f>VLOOKUP(A21,'Ratings worksheet'!$A$2:$C$159,2,FALSE)</f>
        <v>CCC-</v>
      </c>
      <c r="C21" s="56" t="str">
        <f>VLOOKUP(A21,'Ratings worksheet'!$E$2:$H$159,4,FALSE)</f>
        <v>CCC</v>
      </c>
      <c r="D21" s="218" t="str">
        <f>IF(E21="NR",VLOOKUP(B21,'Sovereign Ratings (Moody''s,S&amp;P)'!$G$9:$H$34,2,FALSE),E21)</f>
        <v>Caa3</v>
      </c>
      <c r="E21" s="220" t="str">
        <f>VLOOKUP(A21,'Ratings worksheet'!$A$2:$C$159,3,FALSE)</f>
        <v>Caa3</v>
      </c>
      <c r="G21" s="30" t="s">
        <v>213</v>
      </c>
      <c r="H21" s="15" t="s">
        <v>79</v>
      </c>
    </row>
    <row r="22" spans="1:8">
      <c r="A22" s="46" t="str">
        <f>'Ratings worksheet'!A22</f>
        <v>Bosnia and Herzegovina</v>
      </c>
      <c r="B22" s="56" t="str">
        <f>VLOOKUP(A22,'Ratings worksheet'!$A$2:$C$159,2,FALSE)</f>
        <v>B+</v>
      </c>
      <c r="C22" s="56" t="str">
        <f>VLOOKUP(A22,'Ratings worksheet'!$E$2:$H$159,4,FALSE)</f>
        <v>NR</v>
      </c>
      <c r="D22" s="218" t="str">
        <f>IF(E22="NR",VLOOKUP(B22,'Sovereign Ratings (Moody''s,S&amp;P)'!$G$9:$H$34,2,FALSE),E22)</f>
        <v>B3</v>
      </c>
      <c r="E22" s="220" t="str">
        <f>VLOOKUP(A22,'Ratings worksheet'!$A$2:$C$159,3,FALSE)</f>
        <v>B3</v>
      </c>
      <c r="G22" s="30" t="s">
        <v>203</v>
      </c>
      <c r="H22" s="15" t="s">
        <v>83</v>
      </c>
    </row>
    <row r="23" spans="1:8">
      <c r="A23" s="46" t="str">
        <f>'Ratings worksheet'!A23</f>
        <v>Botswana</v>
      </c>
      <c r="B23" s="56" t="str">
        <f>VLOOKUP(A23,'Ratings worksheet'!$A$2:$C$159,2,FALSE)</f>
        <v>BBB</v>
      </c>
      <c r="C23" s="56" t="str">
        <f>VLOOKUP(A23,'Ratings worksheet'!$E$2:$H$159,4,FALSE)</f>
        <v>NR</v>
      </c>
      <c r="D23" s="218" t="str">
        <f>IF(E23="NR",VLOOKUP(B23,'Sovereign Ratings (Moody''s,S&amp;P)'!$G$9:$H$34,2,FALSE),E23)</f>
        <v>Baa1</v>
      </c>
      <c r="E23" s="220" t="str">
        <f>VLOOKUP(A23,'Ratings worksheet'!$A$2:$C$159,3,FALSE)</f>
        <v>Baa1</v>
      </c>
      <c r="G23" s="30" t="s">
        <v>202</v>
      </c>
      <c r="H23" s="15" t="s">
        <v>124</v>
      </c>
    </row>
    <row r="24" spans="1:8">
      <c r="A24" s="46" t="str">
        <f>'Ratings worksheet'!A24</f>
        <v>Brazil</v>
      </c>
      <c r="B24" s="56" t="str">
        <f>VLOOKUP(A24,'Ratings worksheet'!$A$2:$C$159,2,FALSE)</f>
        <v>BB</v>
      </c>
      <c r="C24" s="56" t="str">
        <f>VLOOKUP(A24,'Ratings worksheet'!$E$2:$H$159,4,FALSE)</f>
        <v>BB</v>
      </c>
      <c r="D24" s="218" t="str">
        <f>IF(E24="NR",VLOOKUP(B24,'Sovereign Ratings (Moody''s,S&amp;P)'!$G$9:$H$34,2,FALSE),E24)</f>
        <v>Ba1</v>
      </c>
      <c r="E24" s="220" t="str">
        <f>VLOOKUP(A24,'Ratings worksheet'!$A$2:$C$159,3,FALSE)</f>
        <v>Ba1</v>
      </c>
      <c r="G24" s="30" t="s">
        <v>199</v>
      </c>
      <c r="H24" s="15" t="s">
        <v>82</v>
      </c>
    </row>
    <row r="25" spans="1:8">
      <c r="A25" s="46" t="str">
        <f>'Ratings worksheet'!A25</f>
        <v>Bulgaria</v>
      </c>
      <c r="B25" s="56" t="str">
        <f>VLOOKUP(A25,'Ratings worksheet'!$A$2:$C$159,2,FALSE)</f>
        <v>BBB+</v>
      </c>
      <c r="C25" s="56" t="str">
        <f>VLOOKUP(A25,'Ratings worksheet'!$E$2:$H$159,4,FALSE)</f>
        <v>BBB+</v>
      </c>
      <c r="D25" s="218" t="str">
        <f>IF(E25="NR",VLOOKUP(B25,'Sovereign Ratings (Moody''s,S&amp;P)'!$G$9:$H$34,2,FALSE),E25)</f>
        <v>Baa1</v>
      </c>
      <c r="E25" s="220" t="str">
        <f>VLOOKUP(A25,'Ratings worksheet'!$A$2:$C$159,3,FALSE)</f>
        <v>Baa1</v>
      </c>
      <c r="G25" s="30" t="s">
        <v>137</v>
      </c>
      <c r="H25" s="15" t="s">
        <v>241</v>
      </c>
    </row>
    <row r="26" spans="1:8">
      <c r="A26" s="46" t="str">
        <f>'Ratings worksheet'!A26</f>
        <v>Burkina Faso</v>
      </c>
      <c r="B26" s="56" t="str">
        <f>VLOOKUP(A26,'Ratings worksheet'!$A$2:$C$159,2,FALSE)</f>
        <v>CCC+</v>
      </c>
      <c r="C26" s="56" t="str">
        <f>VLOOKUP(A26,'Ratings worksheet'!$E$2:$H$159,4,FALSE)</f>
        <v>NR</v>
      </c>
      <c r="D26" s="218" t="str">
        <f>IF(E26="NR",VLOOKUP(B26,'Sovereign Ratings (Moody''s,S&amp;P)'!$G$9:$H$34,2,FALSE),E26)</f>
        <v>Caa1</v>
      </c>
      <c r="E26" s="220" t="str">
        <f>VLOOKUP(A26,'Ratings worksheet'!$A$2:$C$159,3,FALSE)</f>
        <v>NR</v>
      </c>
      <c r="G26" s="30" t="s">
        <v>242</v>
      </c>
      <c r="H26" s="15" t="s">
        <v>243</v>
      </c>
    </row>
    <row r="27" spans="1:8">
      <c r="A27" s="46" t="str">
        <f>'Ratings worksheet'!A27</f>
        <v>Cambodia</v>
      </c>
      <c r="B27" s="56" t="str">
        <f>VLOOKUP(A27,'Ratings worksheet'!$A$2:$C$159,2,FALSE)</f>
        <v>N/A</v>
      </c>
      <c r="C27" s="56" t="str">
        <f>VLOOKUP(A27,'Ratings worksheet'!$E$2:$H$159,4,FALSE)</f>
        <v>NR</v>
      </c>
      <c r="D27" s="218" t="str">
        <f>IF(E27="NR",VLOOKUP(B27,'Sovereign Ratings (Moody''s,S&amp;P)'!$G$9:$H$34,2,FALSE),E27)</f>
        <v>B2</v>
      </c>
      <c r="E27" s="220" t="str">
        <f>VLOOKUP(A27,'Ratings worksheet'!$A$2:$C$159,3,FALSE)</f>
        <v>B2</v>
      </c>
      <c r="G27" s="30" t="s">
        <v>239</v>
      </c>
      <c r="H27" s="15" t="s">
        <v>240</v>
      </c>
    </row>
    <row r="28" spans="1:8">
      <c r="A28" s="46" t="str">
        <f>'Ratings worksheet'!A28</f>
        <v>Cameroon</v>
      </c>
      <c r="B28" s="56" t="str">
        <f>VLOOKUP(A28,'Ratings worksheet'!$A$2:$C$159,2,FALSE)</f>
        <v>B-</v>
      </c>
      <c r="C28" s="56" t="str">
        <f>VLOOKUP(A28,'Ratings worksheet'!$E$2:$H$159,4,FALSE)</f>
        <v>B</v>
      </c>
      <c r="D28" s="218" t="str">
        <f>IF(E28="NR",VLOOKUP(B28,'Sovereign Ratings (Moody''s,S&amp;P)'!$G$9:$H$34,2,FALSE),E28)</f>
        <v>Caa1</v>
      </c>
      <c r="E28" s="220" t="str">
        <f>VLOOKUP(A28,'Ratings worksheet'!$A$2:$C$159,3,FALSE)</f>
        <v>Caa1</v>
      </c>
      <c r="G28" s="30" t="s">
        <v>235</v>
      </c>
      <c r="H28" s="15" t="s">
        <v>236</v>
      </c>
    </row>
    <row r="29" spans="1:8" s="16" customFormat="1">
      <c r="A29" s="46" t="str">
        <f>'Ratings worksheet'!A29</f>
        <v>Canada</v>
      </c>
      <c r="B29" s="56" t="str">
        <f>VLOOKUP(A29,'Ratings worksheet'!$A$2:$C$159,2,FALSE)</f>
        <v>AAA</v>
      </c>
      <c r="C29" s="56" t="str">
        <f>VLOOKUP(A29,'Ratings worksheet'!$E$2:$H$159,4,FALSE)</f>
        <v>AA+</v>
      </c>
      <c r="D29" s="218" t="str">
        <f>IF(E29="NR",VLOOKUP(B29,'Sovereign Ratings (Moody''s,S&amp;P)'!$G$9:$H$34,2,FALSE),E29)</f>
        <v>Aaa</v>
      </c>
      <c r="E29" s="220" t="str">
        <f>VLOOKUP(A29,'Ratings worksheet'!$A$2:$C$159,3,FALSE)</f>
        <v>Aaa</v>
      </c>
      <c r="G29" s="30" t="s">
        <v>237</v>
      </c>
      <c r="H29" s="15" t="s">
        <v>238</v>
      </c>
    </row>
    <row r="30" spans="1:8">
      <c r="A30" s="46" t="str">
        <f>'Ratings worksheet'!A30</f>
        <v>Cape Verde</v>
      </c>
      <c r="B30" s="56" t="str">
        <f>VLOOKUP(A30,'Ratings worksheet'!$A$2:$C$159,2,FALSE)</f>
        <v>B</v>
      </c>
      <c r="C30" s="56" t="str">
        <f>VLOOKUP(A30,'Ratings worksheet'!$E$2:$H$159,4,FALSE)</f>
        <v>B</v>
      </c>
      <c r="D30" s="218" t="str">
        <f>IF(E30="NR",VLOOKUP(B30,'Sovereign Ratings (Moody''s,S&amp;P)'!$G$9:$H$34,2,FALSE),E30)</f>
        <v>B2</v>
      </c>
      <c r="E30" s="220" t="str">
        <f>VLOOKUP(A30,'Ratings worksheet'!$A$2:$C$159,3,FALSE)</f>
        <v>NR</v>
      </c>
      <c r="G30" s="30" t="s">
        <v>234</v>
      </c>
      <c r="H30" s="15" t="s">
        <v>250</v>
      </c>
    </row>
    <row r="31" spans="1:8">
      <c r="A31" s="46" t="str">
        <f>'Ratings worksheet'!A31</f>
        <v>Cayman Islands</v>
      </c>
      <c r="B31" s="56">
        <f>VLOOKUP(A31,'Ratings worksheet'!$A$2:$C$159,2,FALSE)</f>
        <v>0</v>
      </c>
      <c r="C31" s="56" t="e">
        <f>VLOOKUP(A31,'Ratings worksheet'!$E$2:$H$159,4,FALSE)</f>
        <v>#N/A</v>
      </c>
      <c r="D31" s="218" t="str">
        <f>IF(E31="NR",VLOOKUP(B31,'Sovereign Ratings (Moody''s,S&amp;P)'!$G$9:$H$34,2,FALSE),E31)</f>
        <v>Aa3</v>
      </c>
      <c r="E31" s="220" t="str">
        <f>VLOOKUP(A31,'Ratings worksheet'!$A$2:$C$159,3,FALSE)</f>
        <v>Aa3</v>
      </c>
      <c r="G31" s="30" t="s">
        <v>232</v>
      </c>
      <c r="H31" s="15" t="s">
        <v>58</v>
      </c>
    </row>
    <row r="32" spans="1:8">
      <c r="A32" s="46" t="str">
        <f>'Ratings worksheet'!A32</f>
        <v>Chile</v>
      </c>
      <c r="B32" s="56" t="str">
        <f>VLOOKUP(A32,'Ratings worksheet'!$A$2:$C$159,2,FALSE)</f>
        <v>A</v>
      </c>
      <c r="C32" s="56" t="str">
        <f>VLOOKUP(A32,'Ratings worksheet'!$E$2:$H$159,4,FALSE)</f>
        <v>A-</v>
      </c>
      <c r="D32" s="218" t="str">
        <f>IF(E32="NR",VLOOKUP(B32,'Sovereign Ratings (Moody''s,S&amp;P)'!$G$9:$H$34,2,FALSE),E32)</f>
        <v>A2</v>
      </c>
      <c r="E32" s="220" t="str">
        <f>VLOOKUP(A32,'Ratings worksheet'!$A$2:$C$159,3,FALSE)</f>
        <v>A2</v>
      </c>
      <c r="G32" s="30" t="s">
        <v>233</v>
      </c>
      <c r="H32" s="15" t="s">
        <v>62</v>
      </c>
    </row>
    <row r="33" spans="1:8">
      <c r="A33" s="46" t="str">
        <f>'Ratings worksheet'!A33</f>
        <v>China</v>
      </c>
      <c r="B33" s="56" t="str">
        <f>VLOOKUP(A33,'Ratings worksheet'!$A$2:$C$159,2,FALSE)</f>
        <v>A+</v>
      </c>
      <c r="C33" s="56" t="str">
        <f>VLOOKUP(A33,'Ratings worksheet'!$E$2:$H$159,4,FALSE)</f>
        <v>A</v>
      </c>
      <c r="D33" s="218" t="str">
        <f>IF(E33="NR",VLOOKUP(B33,'Sovereign Ratings (Moody''s,S&amp;P)'!$G$9:$H$34,2,FALSE),E33)</f>
        <v>A1</v>
      </c>
      <c r="E33" s="220" t="str">
        <f>VLOOKUP(A33,'Ratings worksheet'!$A$2:$C$159,3,FALSE)</f>
        <v>A1</v>
      </c>
      <c r="G33" s="30" t="s">
        <v>215</v>
      </c>
      <c r="H33" s="15" t="s">
        <v>100</v>
      </c>
    </row>
    <row r="34" spans="1:8">
      <c r="A34" s="46" t="str">
        <f>'Ratings worksheet'!A34</f>
        <v>Colombia</v>
      </c>
      <c r="B34" s="56" t="str">
        <f>VLOOKUP(A34,'Ratings worksheet'!$A$2:$C$159,2,FALSE)</f>
        <v>BB</v>
      </c>
      <c r="C34" s="56" t="str">
        <f>VLOOKUP(A34,'Ratings worksheet'!$E$2:$H$159,4,FALSE)</f>
        <v>BB</v>
      </c>
      <c r="D34" s="218" t="str">
        <f>IF(E34="NR",VLOOKUP(B34,'Sovereign Ratings (Moody''s,S&amp;P)'!$G$9:$H$34,2,FALSE),E34)</f>
        <v>Baa3</v>
      </c>
      <c r="E34" s="220" t="str">
        <f>VLOOKUP(A34,'Ratings worksheet'!$A$2:$C$159,3,FALSE)</f>
        <v>Baa3</v>
      </c>
      <c r="G34" s="201" t="s">
        <v>272</v>
      </c>
      <c r="H34" s="191" t="s">
        <v>143</v>
      </c>
    </row>
    <row r="35" spans="1:8">
      <c r="A35" s="46" t="str">
        <f>'Ratings worksheet'!A35</f>
        <v>Congo (Democratic Republic of)</v>
      </c>
      <c r="B35" s="56" t="e">
        <f>VLOOKUP(A35,'Ratings worksheet'!$A$2:$C$159,2,FALSE)</f>
        <v>#N/A</v>
      </c>
      <c r="C35" s="56" t="e">
        <f>VLOOKUP(A35,'Ratings worksheet'!$E$2:$H$159,4,FALSE)</f>
        <v>#N/A</v>
      </c>
      <c r="D35" s="218" t="str">
        <f>IF(E35="NR",VLOOKUP(B35,'Sovereign Ratings (Moody''s,S&amp;P)'!$G$9:$H$34,2,FALSE),E35)</f>
        <v>B3</v>
      </c>
      <c r="E35" s="220" t="str">
        <f>VLOOKUP(A35,'Ratings worksheet'!$A$2:$C$159,3,FALSE)</f>
        <v>B3</v>
      </c>
    </row>
    <row r="36" spans="1:8">
      <c r="A36" s="46" t="str">
        <f>'Ratings worksheet'!A36</f>
        <v>Congo (Republic of)</v>
      </c>
      <c r="B36" s="56" t="str">
        <f>VLOOKUP(A36,'Ratings worksheet'!$A$2:$C$159,2,FALSE)</f>
        <v>CCC+</v>
      </c>
      <c r="C36" s="56" t="e">
        <f>VLOOKUP(A36,'Ratings worksheet'!$E$2:$H$159,4,FALSE)</f>
        <v>#N/A</v>
      </c>
      <c r="D36" s="218" t="str">
        <f>IF(E36="NR",VLOOKUP(B36,'Sovereign Ratings (Moody''s,S&amp;P)'!$G$9:$H$34,2,FALSE),E36)</f>
        <v>Caa2</v>
      </c>
      <c r="E36" s="220" t="str">
        <f>VLOOKUP(A36,'Ratings worksheet'!$A$2:$C$159,3,FALSE)</f>
        <v>Caa2</v>
      </c>
    </row>
    <row r="37" spans="1:8">
      <c r="A37" s="46" t="str">
        <f>'Ratings worksheet'!A37</f>
        <v>Cook Islands</v>
      </c>
      <c r="B37" s="56" t="e">
        <f>VLOOKUP(A37,'Ratings worksheet'!$A$2:$C$159,2,FALSE)</f>
        <v>#N/A</v>
      </c>
      <c r="C37" s="56" t="e">
        <f>VLOOKUP(A37,'Ratings worksheet'!$E$2:$H$159,4,FALSE)</f>
        <v>#N/A</v>
      </c>
      <c r="D37" s="218" t="str">
        <f>IF(E37="NR",VLOOKUP(B37,'Sovereign Ratings (Moody''s,S&amp;P)'!$G$9:$H$34,2,FALSE),E37)</f>
        <v>B1</v>
      </c>
      <c r="E37" s="220" t="str">
        <f>VLOOKUP(A37,'Ratings worksheet'!$A$2:$C$159,3,FALSE)</f>
        <v>B1</v>
      </c>
    </row>
    <row r="38" spans="1:8">
      <c r="A38" s="46" t="str">
        <f>'Ratings worksheet'!A38</f>
        <v>Costa Rica</v>
      </c>
      <c r="B38" s="56" t="str">
        <f>VLOOKUP(A38,'Ratings worksheet'!$A$2:$C$159,2,FALSE)</f>
        <v>BB</v>
      </c>
      <c r="C38" s="56" t="str">
        <f>VLOOKUP(A38,'Ratings worksheet'!$E$2:$H$159,4,FALSE)</f>
        <v>BB</v>
      </c>
      <c r="D38" s="218" t="str">
        <f>IF(E38="NR",VLOOKUP(B38,'Sovereign Ratings (Moody''s,S&amp;P)'!$G$9:$H$34,2,FALSE),E38)</f>
        <v>Ba2</v>
      </c>
      <c r="E38" s="220" t="str">
        <f>VLOOKUP(A38,'Ratings worksheet'!$A$2:$C$159,3,FALSE)</f>
        <v>Ba2</v>
      </c>
    </row>
    <row r="39" spans="1:8">
      <c r="A39" s="46" t="str">
        <f>'Ratings worksheet'!A39</f>
        <v>Côte d'Ivoire</v>
      </c>
      <c r="B39" s="56" t="e">
        <f>VLOOKUP(A39,'Ratings worksheet'!$A$2:$C$159,2,FALSE)</f>
        <v>#N/A</v>
      </c>
      <c r="C39" s="56" t="e">
        <f>VLOOKUP(A39,'Ratings worksheet'!$E$2:$H$159,4,FALSE)</f>
        <v>#N/A</v>
      </c>
      <c r="D39" s="218" t="str">
        <f>IF(E39="NR",VLOOKUP(B39,'Sovereign Ratings (Moody''s,S&amp;P)'!$G$9:$H$34,2,FALSE),E39)</f>
        <v>Ba2</v>
      </c>
      <c r="E39" s="220" t="str">
        <f>VLOOKUP(A39,'Ratings worksheet'!$A$2:$C$159,3,FALSE)</f>
        <v>Ba2</v>
      </c>
    </row>
    <row r="40" spans="1:8">
      <c r="A40" s="46" t="str">
        <f>'Ratings worksheet'!A40</f>
        <v>Croatia</v>
      </c>
      <c r="B40" s="56" t="str">
        <f>VLOOKUP(A40,'Ratings worksheet'!$A$2:$C$159,2,FALSE)</f>
        <v>A-</v>
      </c>
      <c r="C40" s="56" t="str">
        <f>VLOOKUP(A40,'Ratings worksheet'!$E$2:$H$159,4,FALSE)</f>
        <v>A-</v>
      </c>
      <c r="D40" s="218" t="str">
        <f>IF(E40="NR",VLOOKUP(B40,'Sovereign Ratings (Moody''s,S&amp;P)'!$G$9:$H$34,2,FALSE),E40)</f>
        <v>A3</v>
      </c>
      <c r="E40" s="220" t="str">
        <f>VLOOKUP(A40,'Ratings worksheet'!$A$2:$C$159,3,FALSE)</f>
        <v>A3</v>
      </c>
    </row>
    <row r="41" spans="1:8">
      <c r="A41" s="46" t="str">
        <f>'Ratings worksheet'!A41</f>
        <v>Cuba</v>
      </c>
      <c r="B41" s="56" t="e">
        <f>VLOOKUP(A41,'Ratings worksheet'!$A$2:$C$159,2,FALSE)</f>
        <v>#N/A</v>
      </c>
      <c r="C41" s="56" t="str">
        <f>VLOOKUP(A41,'Ratings worksheet'!$E$2:$H$159,4,FALSE)</f>
        <v>NR</v>
      </c>
      <c r="D41" s="218" t="str">
        <f>IF(E41="NR",VLOOKUP(B41,'Sovereign Ratings (Moody''s,S&amp;P)'!$G$9:$H$34,2,FALSE),E41)</f>
        <v>Ca</v>
      </c>
      <c r="E41" s="220" t="str">
        <f>VLOOKUP(A41,'Ratings worksheet'!$A$2:$C$159,3,FALSE)</f>
        <v>Ca</v>
      </c>
    </row>
    <row r="42" spans="1:8">
      <c r="A42" s="46" t="str">
        <f>'Ratings worksheet'!A42</f>
        <v>Curacao</v>
      </c>
      <c r="B42" s="56" t="str">
        <f>VLOOKUP(A42,'Ratings worksheet'!$A$2:$C$159,2,FALSE)</f>
        <v>BBB-</v>
      </c>
      <c r="C42" s="56" t="e">
        <f>VLOOKUP(A42,'Ratings worksheet'!$E$2:$H$159,4,FALSE)</f>
        <v>#N/A</v>
      </c>
      <c r="D42" s="218" t="str">
        <f>IF(E42="NR",VLOOKUP(B42,'Sovereign Ratings (Moody''s,S&amp;P)'!$G$9:$H$34,2,FALSE),E42)</f>
        <v>Baa3</v>
      </c>
      <c r="E42" s="220" t="str">
        <f>VLOOKUP(A42,'Ratings worksheet'!$A$2:$C$159,3,FALSE)</f>
        <v>NR</v>
      </c>
    </row>
    <row r="43" spans="1:8">
      <c r="A43" s="46" t="str">
        <f>'Ratings worksheet'!A43</f>
        <v>Cyprus</v>
      </c>
      <c r="B43" s="56" t="str">
        <f>VLOOKUP(A43,'Ratings worksheet'!$A$2:$C$159,2,FALSE)</f>
        <v>A-</v>
      </c>
      <c r="C43" s="56" t="str">
        <f>VLOOKUP(A43,'Ratings worksheet'!$E$2:$H$159,4,FALSE)</f>
        <v>A-</v>
      </c>
      <c r="D43" s="218" t="str">
        <f>IF(E43="NR",VLOOKUP(B43,'Sovereign Ratings (Moody''s,S&amp;P)'!$G$9:$H$34,2,FALSE),E43)</f>
        <v>A3</v>
      </c>
      <c r="E43" s="220" t="str">
        <f>VLOOKUP(A43,'Ratings worksheet'!$A$2:$C$159,3,FALSE)</f>
        <v>A3</v>
      </c>
    </row>
    <row r="44" spans="1:8">
      <c r="A44" s="46" t="str">
        <f>'Ratings worksheet'!A44</f>
        <v>Czech Republic</v>
      </c>
      <c r="B44" s="56" t="str">
        <f>VLOOKUP(A44,'Ratings worksheet'!$A$2:$C$159,2,FALSE)</f>
        <v>AA-</v>
      </c>
      <c r="C44" s="56" t="e">
        <f>VLOOKUP(A44,'Ratings worksheet'!$E$2:$H$159,4,FALSE)</f>
        <v>#N/A</v>
      </c>
      <c r="D44" s="218" t="str">
        <f>IF(E44="NR",VLOOKUP(B44,'Sovereign Ratings (Moody''s,S&amp;P)'!$G$9:$H$34,2,FALSE),E44)</f>
        <v>Aa3</v>
      </c>
      <c r="E44" s="220" t="str">
        <f>VLOOKUP(A44,'Ratings worksheet'!$A$2:$C$159,3,FALSE)</f>
        <v>Aa3</v>
      </c>
    </row>
    <row r="45" spans="1:8">
      <c r="A45" s="46" t="str">
        <f>'Ratings worksheet'!A45</f>
        <v>Denmark</v>
      </c>
      <c r="B45" s="56" t="str">
        <f>VLOOKUP(A45,'Ratings worksheet'!$A$2:$C$159,2,FALSE)</f>
        <v>AAA</v>
      </c>
      <c r="C45" s="56" t="str">
        <f>VLOOKUP(A45,'Ratings worksheet'!$E$2:$H$159,4,FALSE)</f>
        <v>AAA</v>
      </c>
      <c r="D45" s="218" t="str">
        <f>IF(E45="NR",VLOOKUP(B45,'Sovereign Ratings (Moody''s,S&amp;P)'!$G$9:$H$34,2,FALSE),E45)</f>
        <v>Aaa</v>
      </c>
      <c r="E45" s="220" t="str">
        <f>VLOOKUP(A45,'Ratings worksheet'!$A$2:$C$159,3,FALSE)</f>
        <v>Aaa</v>
      </c>
    </row>
    <row r="46" spans="1:8">
      <c r="A46" s="46" t="str">
        <f>'Ratings worksheet'!A46</f>
        <v>Dominican Republic</v>
      </c>
      <c r="B46" s="56" t="str">
        <f>VLOOKUP(A46,'Ratings worksheet'!$A$2:$C$159,2,FALSE)</f>
        <v>BB</v>
      </c>
      <c r="C46" s="56" t="str">
        <f>VLOOKUP(A46,'Ratings worksheet'!$E$2:$H$159,4,FALSE)</f>
        <v>BB-</v>
      </c>
      <c r="D46" s="218" t="str">
        <f>IF(E46="NR",VLOOKUP(B46,'Sovereign Ratings (Moody''s,S&amp;P)'!$G$9:$H$34,2,FALSE),E46)</f>
        <v>Ba2</v>
      </c>
      <c r="E46" s="220" t="str">
        <f>VLOOKUP(A46,'Ratings worksheet'!$A$2:$C$159,3,FALSE)</f>
        <v>Ba2</v>
      </c>
    </row>
    <row r="47" spans="1:8">
      <c r="A47" s="46" t="str">
        <f>'Ratings worksheet'!A47</f>
        <v>Ecuador</v>
      </c>
      <c r="B47" s="56" t="str">
        <f>VLOOKUP(A47,'Ratings worksheet'!$A$2:$C$159,2,FALSE)</f>
        <v>B-</v>
      </c>
      <c r="C47" s="56" t="str">
        <f>VLOOKUP(A47,'Ratings worksheet'!$E$2:$H$159,4,FALSE)</f>
        <v>CCC+</v>
      </c>
      <c r="D47" s="218" t="str">
        <f>IF(E47="NR",VLOOKUP(B47,'Sovereign Ratings (Moody''s,S&amp;P)'!$G$9:$H$34,2,FALSE),E47)</f>
        <v>Caa3</v>
      </c>
      <c r="E47" s="220" t="str">
        <f>VLOOKUP(A47,'Ratings worksheet'!$A$2:$C$159,3,FALSE)</f>
        <v>Caa3</v>
      </c>
    </row>
    <row r="48" spans="1:8">
      <c r="A48" s="46" t="str">
        <f>'Ratings worksheet'!A48</f>
        <v>Egypt</v>
      </c>
      <c r="B48" s="56" t="str">
        <f>VLOOKUP(A48,'Ratings worksheet'!$A$2:$C$159,2,FALSE)</f>
        <v>B</v>
      </c>
      <c r="C48" s="56" t="str">
        <f>VLOOKUP(A48,'Ratings worksheet'!$E$2:$H$159,4,FALSE)</f>
        <v>B</v>
      </c>
      <c r="D48" s="218" t="str">
        <f>IF(E48="NR",VLOOKUP(B48,'Sovereign Ratings (Moody''s,S&amp;P)'!$G$9:$H$34,2,FALSE),E48)</f>
        <v>Caa1</v>
      </c>
      <c r="E48" s="220" t="str">
        <f>VLOOKUP(A48,'Ratings worksheet'!$A$2:$C$159,3,FALSE)</f>
        <v>Caa1</v>
      </c>
    </row>
    <row r="49" spans="1:5">
      <c r="A49" s="46" t="str">
        <f>'Ratings worksheet'!A49</f>
        <v>El Salvador</v>
      </c>
      <c r="B49" s="56" t="str">
        <f>VLOOKUP(A49,'Ratings worksheet'!$A$2:$C$159,2,FALSE)</f>
        <v>B-</v>
      </c>
      <c r="C49" s="56" t="str">
        <f>VLOOKUP(A49,'Ratings worksheet'!$E$2:$H$159,4,FALSE)</f>
        <v>B-</v>
      </c>
      <c r="D49" s="218" t="str">
        <f>IF(E49="NR",VLOOKUP(B49,'Sovereign Ratings (Moody''s,S&amp;P)'!$G$9:$H$34,2,FALSE),E49)</f>
        <v>B3</v>
      </c>
      <c r="E49" s="220" t="str">
        <f>VLOOKUP(A49,'Ratings worksheet'!$A$2:$C$159,3,FALSE)</f>
        <v>NR</v>
      </c>
    </row>
    <row r="50" spans="1:5">
      <c r="A50" s="46" t="str">
        <f>'Ratings worksheet'!A50</f>
        <v>Estonia</v>
      </c>
      <c r="B50" s="56" t="str">
        <f>VLOOKUP(A50,'Ratings worksheet'!$A$2:$C$159,2,FALSE)</f>
        <v>NR</v>
      </c>
      <c r="C50" s="56" t="str">
        <f>VLOOKUP(A50,'Ratings worksheet'!$E$2:$H$159,4,FALSE)</f>
        <v>A+</v>
      </c>
      <c r="D50" s="218" t="str">
        <f>IF(E50="NR",VLOOKUP(B50,'Sovereign Ratings (Moody''s,S&amp;P)'!$G$9:$H$34,2,FALSE),E50)</f>
        <v>A1</v>
      </c>
      <c r="E50" s="220" t="str">
        <f>VLOOKUP(A50,'Ratings worksheet'!$A$2:$C$159,3,FALSE)</f>
        <v>A1</v>
      </c>
    </row>
    <row r="51" spans="1:5">
      <c r="A51" s="46" t="str">
        <f>'Ratings worksheet'!A51</f>
        <v>Ethiopia</v>
      </c>
      <c r="B51" s="56" t="str">
        <f>VLOOKUP(A51,'Ratings worksheet'!$A$2:$C$159,2,FALSE)</f>
        <v>SD</v>
      </c>
      <c r="C51" s="56" t="str">
        <f>VLOOKUP(A51,'Ratings worksheet'!$E$2:$H$159,4,FALSE)</f>
        <v>RD</v>
      </c>
      <c r="D51" s="218" t="str">
        <f>IF(E51="NR",VLOOKUP(B51,'Sovereign Ratings (Moody''s,S&amp;P)'!$G$9:$H$34,2,FALSE),E51)</f>
        <v>Caa2</v>
      </c>
      <c r="E51" s="220" t="str">
        <f>VLOOKUP(A51,'Ratings worksheet'!$A$2:$C$159,3,FALSE)</f>
        <v>Caa2</v>
      </c>
    </row>
    <row r="52" spans="1:5">
      <c r="A52" s="46" t="str">
        <f>'Ratings worksheet'!A52</f>
        <v>Fiji</v>
      </c>
      <c r="B52" s="56" t="str">
        <f>VLOOKUP(A52,'Ratings worksheet'!$A$2:$C$159,2,FALSE)</f>
        <v>B+</v>
      </c>
      <c r="C52" s="56" t="str">
        <f>VLOOKUP(A52,'Ratings worksheet'!$E$2:$H$159,4,FALSE)</f>
        <v>NR</v>
      </c>
      <c r="D52" s="218" t="str">
        <f>IF(E52="NR",VLOOKUP(B52,'Sovereign Ratings (Moody''s,S&amp;P)'!$G$9:$H$34,2,FALSE),E52)</f>
        <v>B1</v>
      </c>
      <c r="E52" s="220" t="str">
        <f>VLOOKUP(A52,'Ratings worksheet'!$A$2:$C$159,3,FALSE)</f>
        <v>B1</v>
      </c>
    </row>
    <row r="53" spans="1:5">
      <c r="A53" s="46" t="str">
        <f>'Ratings worksheet'!A53</f>
        <v>Finland</v>
      </c>
      <c r="B53" s="56" t="str">
        <f>VLOOKUP(A53,'Ratings worksheet'!$A$2:$C$159,2,FALSE)</f>
        <v>AA+</v>
      </c>
      <c r="C53" s="56" t="str">
        <f>VLOOKUP(A53,'Ratings worksheet'!$E$2:$H$159,4,FALSE)</f>
        <v>AA</v>
      </c>
      <c r="D53" s="218" t="str">
        <f>IF(E53="NR",VLOOKUP(B53,'Sovereign Ratings (Moody''s,S&amp;P)'!$G$9:$H$34,2,FALSE),E53)</f>
        <v>Aa1</v>
      </c>
      <c r="E53" s="220" t="str">
        <f>VLOOKUP(A53,'Ratings worksheet'!$A$2:$C$159,3,FALSE)</f>
        <v>Aa1</v>
      </c>
    </row>
    <row r="54" spans="1:5">
      <c r="A54" s="46" t="str">
        <f>'Ratings worksheet'!A54</f>
        <v>France</v>
      </c>
      <c r="B54" s="56" t="str">
        <f>VLOOKUP(A54,'Ratings worksheet'!$A$2:$C$159,2,FALSE)</f>
        <v>A+</v>
      </c>
      <c r="C54" s="56" t="str">
        <f>VLOOKUP(A54,'Ratings worksheet'!$E$2:$H$159,4,FALSE)</f>
        <v>A+</v>
      </c>
      <c r="D54" s="218" t="str">
        <f>IF(E54="NR",VLOOKUP(B54,'Sovereign Ratings (Moody''s,S&amp;P)'!$G$9:$H$34,2,FALSE),E54)</f>
        <v>Aa3</v>
      </c>
      <c r="E54" s="220" t="str">
        <f>VLOOKUP(A54,'Ratings worksheet'!$A$2:$C$159,3,FALSE)</f>
        <v>Aa3</v>
      </c>
    </row>
    <row r="55" spans="1:5">
      <c r="A55" s="46" t="str">
        <f>'Ratings worksheet'!A55</f>
        <v>Gabon</v>
      </c>
      <c r="B55" s="56" t="str">
        <f>VLOOKUP(A55,'Ratings worksheet'!$A$2:$C$159,2,FALSE)</f>
        <v>N/A</v>
      </c>
      <c r="C55" s="56" t="str">
        <f>VLOOKUP(A55,'Ratings worksheet'!$E$2:$H$159,4,FALSE)</f>
        <v>CCC-</v>
      </c>
      <c r="D55" s="218" t="str">
        <f>IF(E55="NR",VLOOKUP(B55,'Sovereign Ratings (Moody''s,S&amp;P)'!$G$9:$H$34,2,FALSE),E55)</f>
        <v>Caa2</v>
      </c>
      <c r="E55" s="220" t="str">
        <f>VLOOKUP(A55,'Ratings worksheet'!$A$2:$C$159,3,FALSE)</f>
        <v>Caa2</v>
      </c>
    </row>
    <row r="56" spans="1:5">
      <c r="A56" s="46" t="str">
        <f>'Ratings worksheet'!A56</f>
        <v>Georgia</v>
      </c>
      <c r="B56" s="56" t="str">
        <f>VLOOKUP(A56,'Ratings worksheet'!$A$2:$C$159,2,FALSE)</f>
        <v>BB</v>
      </c>
      <c r="C56" s="56" t="str">
        <f>VLOOKUP(A56,'Ratings worksheet'!$E$2:$H$159,4,FALSE)</f>
        <v>BB</v>
      </c>
      <c r="D56" s="218" t="str">
        <f>IF(E56="NR",VLOOKUP(B56,'Sovereign Ratings (Moody''s,S&amp;P)'!$G$9:$H$34,2,FALSE),E56)</f>
        <v>Ba2</v>
      </c>
      <c r="E56" s="220" t="str">
        <f>VLOOKUP(A56,'Ratings worksheet'!$A$2:$C$159,3,FALSE)</f>
        <v>Ba2</v>
      </c>
    </row>
    <row r="57" spans="1:5">
      <c r="A57" s="46" t="str">
        <f>'Ratings worksheet'!A57</f>
        <v>Germany</v>
      </c>
      <c r="B57" s="56" t="str">
        <f>VLOOKUP(A57,'Ratings worksheet'!$A$2:$C$159,2,FALSE)</f>
        <v>AAA</v>
      </c>
      <c r="C57" s="56" t="str">
        <f>VLOOKUP(A57,'Ratings worksheet'!$E$2:$H$159,4,FALSE)</f>
        <v>AAA</v>
      </c>
      <c r="D57" s="218" t="str">
        <f>IF(E57="NR",VLOOKUP(B57,'Sovereign Ratings (Moody''s,S&amp;P)'!$G$9:$H$34,2,FALSE),E57)</f>
        <v>Aaa</v>
      </c>
      <c r="E57" s="220" t="str">
        <f>VLOOKUP(A57,'Ratings worksheet'!$A$2:$C$159,3,FALSE)</f>
        <v>Aaa</v>
      </c>
    </row>
    <row r="58" spans="1:5">
      <c r="A58" s="46" t="str">
        <f>'Ratings worksheet'!A58</f>
        <v>Ghana</v>
      </c>
      <c r="B58" s="56" t="str">
        <f>VLOOKUP(A58,'Ratings worksheet'!$A$2:$C$159,2,FALSE)</f>
        <v>B-</v>
      </c>
      <c r="C58" s="56" t="str">
        <f>VLOOKUP(A58,'Ratings worksheet'!$E$2:$H$159,4,FALSE)</f>
        <v>B-</v>
      </c>
      <c r="D58" s="218" t="str">
        <f>IF(E58="NR",VLOOKUP(B58,'Sovereign Ratings (Moody''s,S&amp;P)'!$G$9:$H$34,2,FALSE),E58)</f>
        <v>Caa1</v>
      </c>
      <c r="E58" s="220" t="str">
        <f>VLOOKUP(A58,'Ratings worksheet'!$A$2:$C$159,3,FALSE)</f>
        <v>Caa1</v>
      </c>
    </row>
    <row r="59" spans="1:5">
      <c r="A59" s="46" t="str">
        <f>'Ratings worksheet'!A59</f>
        <v>Greece</v>
      </c>
      <c r="B59" s="56" t="str">
        <f>VLOOKUP(A59,'Ratings worksheet'!$A$2:$C$159,2,FALSE)</f>
        <v>BBB</v>
      </c>
      <c r="C59" s="56" t="str">
        <f>VLOOKUP(A59,'Ratings worksheet'!$E$2:$H$159,4,FALSE)</f>
        <v>BBB</v>
      </c>
      <c r="D59" s="218" t="str">
        <f>IF(E59="NR",VLOOKUP(B59,'Sovereign Ratings (Moody''s,S&amp;P)'!$G$9:$H$34,2,FALSE),E59)</f>
        <v>Baa3</v>
      </c>
      <c r="E59" s="220" t="str">
        <f>VLOOKUP(A59,'Ratings worksheet'!$A$2:$C$159,3,FALSE)</f>
        <v>Baa3</v>
      </c>
    </row>
    <row r="60" spans="1:5">
      <c r="A60" s="46" t="str">
        <f>'Ratings worksheet'!A60</f>
        <v>Guatemala</v>
      </c>
      <c r="B60" s="56" t="str">
        <f>VLOOKUP(A60,'Ratings worksheet'!$A$2:$C$159,2,FALSE)</f>
        <v>BB+</v>
      </c>
      <c r="C60" s="56" t="str">
        <f>VLOOKUP(A60,'Ratings worksheet'!$E$2:$H$159,4,FALSE)</f>
        <v>BB+</v>
      </c>
      <c r="D60" s="218" t="str">
        <f>IF(E60="NR",VLOOKUP(B60,'Sovereign Ratings (Moody''s,S&amp;P)'!$G$9:$H$34,2,FALSE),E60)</f>
        <v>Ba1</v>
      </c>
      <c r="E60" s="220" t="str">
        <f>VLOOKUP(A60,'Ratings worksheet'!$A$2:$C$159,3,FALSE)</f>
        <v>Ba1</v>
      </c>
    </row>
    <row r="61" spans="1:5">
      <c r="A61" s="46" t="str">
        <f>'Ratings worksheet'!A61</f>
        <v>Guernsey (States of)</v>
      </c>
      <c r="B61" s="56" t="str">
        <f>VLOOKUP(A61,'Ratings worksheet'!$A$2:$C$159,2,FALSE)</f>
        <v>A+</v>
      </c>
      <c r="C61" s="56" t="e">
        <f>VLOOKUP(A61,'Ratings worksheet'!$E$2:$H$159,4,FALSE)</f>
        <v>#N/A</v>
      </c>
      <c r="D61" s="218" t="str">
        <f>IF(E61="NR",VLOOKUP(B61,'Sovereign Ratings (Moody''s,S&amp;P)'!$G$9:$H$34,2,FALSE),E61)</f>
        <v>A1</v>
      </c>
      <c r="E61" s="220" t="s">
        <v>272</v>
      </c>
    </row>
    <row r="62" spans="1:5">
      <c r="A62" s="46" t="str">
        <f>'Ratings worksheet'!A62</f>
        <v>Honduras</v>
      </c>
      <c r="B62" s="56" t="str">
        <f>VLOOKUP(A62,'Ratings worksheet'!$A$2:$C$159,2,FALSE)</f>
        <v>BB-</v>
      </c>
      <c r="C62" s="56" t="str">
        <f>VLOOKUP(A62,'Ratings worksheet'!$E$2:$H$159,4,FALSE)</f>
        <v>B</v>
      </c>
      <c r="D62" s="218" t="str">
        <f>IF(E62="NR",VLOOKUP(B62,'Sovereign Ratings (Moody''s,S&amp;P)'!$G$9:$H$34,2,FALSE),E62)</f>
        <v>B1</v>
      </c>
      <c r="E62" s="220" t="str">
        <f>VLOOKUP(A62,'Ratings worksheet'!$A$2:$C$159,3,FALSE)</f>
        <v>B1</v>
      </c>
    </row>
    <row r="63" spans="1:5">
      <c r="A63" s="46" t="str">
        <f>'Ratings worksheet'!A63</f>
        <v>Hong Kong</v>
      </c>
      <c r="B63" s="56" t="str">
        <f>VLOOKUP(A63,'Ratings worksheet'!$A$2:$C$159,2,FALSE)</f>
        <v>AA+</v>
      </c>
      <c r="C63" s="56" t="str">
        <f>VLOOKUP(A63,'Ratings worksheet'!$E$2:$H$159,4,FALSE)</f>
        <v>AA-</v>
      </c>
      <c r="D63" s="218" t="str">
        <f>IF(E63="NR",VLOOKUP(B63,'Sovereign Ratings (Moody''s,S&amp;P)'!$G$9:$H$34,2,FALSE),E63)</f>
        <v>Aa3</v>
      </c>
      <c r="E63" s="220" t="str">
        <f>VLOOKUP(A63,'Ratings worksheet'!$A$2:$C$159,3,FALSE)</f>
        <v>Aa3</v>
      </c>
    </row>
    <row r="64" spans="1:5">
      <c r="A64" s="46" t="str">
        <f>'Ratings worksheet'!A64</f>
        <v>Hungary</v>
      </c>
      <c r="B64" s="56" t="str">
        <f>VLOOKUP(A64,'Ratings worksheet'!$A$2:$C$159,2,FALSE)</f>
        <v>BBB-</v>
      </c>
      <c r="C64" s="56" t="str">
        <f>VLOOKUP(A64,'Ratings worksheet'!$E$2:$H$159,4,FALSE)</f>
        <v>BBB</v>
      </c>
      <c r="D64" s="218" t="str">
        <f>IF(E64="NR",VLOOKUP(B64,'Sovereign Ratings (Moody''s,S&amp;P)'!$G$9:$H$34,2,FALSE),E64)</f>
        <v>Baa2</v>
      </c>
      <c r="E64" s="220" t="str">
        <f>VLOOKUP(A64,'Ratings worksheet'!$A$2:$C$159,3,FALSE)</f>
        <v>Baa2</v>
      </c>
    </row>
    <row r="65" spans="1:5">
      <c r="A65" s="46" t="str">
        <f>'Ratings worksheet'!A65</f>
        <v>Iceland</v>
      </c>
      <c r="B65" s="56" t="str">
        <f>VLOOKUP(A65,'Ratings worksheet'!$A$2:$C$159,2,FALSE)</f>
        <v>A+</v>
      </c>
      <c r="C65" s="56" t="str">
        <f>VLOOKUP(A65,'Ratings worksheet'!$E$2:$H$159,4,FALSE)</f>
        <v>A</v>
      </c>
      <c r="D65" s="218" t="str">
        <f>IF(E65="NR",VLOOKUP(B65,'Sovereign Ratings (Moody''s,S&amp;P)'!$G$9:$H$34,2,FALSE),E65)</f>
        <v>A1</v>
      </c>
      <c r="E65" s="220" t="str">
        <f>VLOOKUP(A65,'Ratings worksheet'!$A$2:$C$159,3,FALSE)</f>
        <v>A1</v>
      </c>
    </row>
    <row r="66" spans="1:5">
      <c r="A66" s="46" t="str">
        <f>'Ratings worksheet'!A66</f>
        <v>India</v>
      </c>
      <c r="B66" s="56" t="str">
        <f>VLOOKUP(A66,'Ratings worksheet'!$A$2:$C$159,2,FALSE)</f>
        <v>BBB</v>
      </c>
      <c r="C66" s="56" t="str">
        <f>VLOOKUP(A66,'Ratings worksheet'!$E$2:$H$159,4,FALSE)</f>
        <v>BBB-</v>
      </c>
      <c r="D66" s="218" t="str">
        <f>IF(E66="NR",VLOOKUP(B66,'Sovereign Ratings (Moody''s,S&amp;P)'!$G$9:$H$34,2,FALSE),E66)</f>
        <v>Baa3</v>
      </c>
      <c r="E66" s="220" t="str">
        <f>VLOOKUP(A66,'Ratings worksheet'!$A$2:$C$159,3,FALSE)</f>
        <v>Baa3</v>
      </c>
    </row>
    <row r="67" spans="1:5">
      <c r="A67" s="46" t="str">
        <f>'Ratings worksheet'!A67</f>
        <v>Indonesia</v>
      </c>
      <c r="B67" s="56" t="str">
        <f>VLOOKUP(A67,'Ratings worksheet'!$A$2:$C$159,2,FALSE)</f>
        <v>BBB</v>
      </c>
      <c r="C67" s="56" t="str">
        <f>VLOOKUP(A67,'Ratings worksheet'!$E$2:$H$159,4,FALSE)</f>
        <v>BBB</v>
      </c>
      <c r="D67" s="218" t="str">
        <f>IF(E67="NR",VLOOKUP(B67,'Sovereign Ratings (Moody''s,S&amp;P)'!$G$9:$H$34,2,FALSE),E67)</f>
        <v>Baa2</v>
      </c>
      <c r="E67" s="220" t="str">
        <f>VLOOKUP(A67,'Ratings worksheet'!$A$2:$C$159,3,FALSE)</f>
        <v>Baa2</v>
      </c>
    </row>
    <row r="68" spans="1:5">
      <c r="A68" s="46" t="str">
        <f>'Ratings worksheet'!A68</f>
        <v>Iraq</v>
      </c>
      <c r="B68" s="56" t="str">
        <f>VLOOKUP(A68,'Ratings worksheet'!$A$2:$C$159,2,FALSE)</f>
        <v>B-</v>
      </c>
      <c r="C68" s="56" t="str">
        <f>VLOOKUP(A68,'Ratings worksheet'!$E$2:$H$159,4,FALSE)</f>
        <v>B-</v>
      </c>
      <c r="D68" s="218" t="str">
        <f>IF(E68="NR",VLOOKUP(B68,'Sovereign Ratings (Moody''s,S&amp;P)'!$G$9:$H$34,2,FALSE),E68)</f>
        <v>Caa1</v>
      </c>
      <c r="E68" s="220" t="str">
        <f>VLOOKUP(A68,'Ratings worksheet'!$A$2:$C$159,3,FALSE)</f>
        <v>Caa1</v>
      </c>
    </row>
    <row r="69" spans="1:5">
      <c r="A69" s="46" t="str">
        <f>'Ratings worksheet'!A69</f>
        <v>Ireland</v>
      </c>
      <c r="B69" s="56" t="str">
        <f>VLOOKUP(A69,'Ratings worksheet'!$A$2:$C$159,2,FALSE)</f>
        <v>AA</v>
      </c>
      <c r="C69" s="56" t="str">
        <f>VLOOKUP(A69,'Ratings worksheet'!$E$2:$H$159,4,FALSE)</f>
        <v>AA</v>
      </c>
      <c r="D69" s="218" t="str">
        <f>IF(E69="NR",VLOOKUP(B69,'Sovereign Ratings (Moody''s,S&amp;P)'!$G$9:$H$34,2,FALSE),E69)</f>
        <v>Aa3</v>
      </c>
      <c r="E69" s="220" t="str">
        <f>VLOOKUP(A69,'Ratings worksheet'!$A$2:$C$159,3,FALSE)</f>
        <v>Aa3</v>
      </c>
    </row>
    <row r="70" spans="1:5">
      <c r="A70" s="46" t="str">
        <f>'Ratings worksheet'!A70</f>
        <v>Isle of Man</v>
      </c>
      <c r="B70" s="56" t="str">
        <f>VLOOKUP(A70,'Ratings worksheet'!$A$2:$C$159,2,FALSE)</f>
        <v>NR</v>
      </c>
      <c r="C70" s="56" t="e">
        <f>VLOOKUP(A70,'Ratings worksheet'!$E$2:$H$159,4,FALSE)</f>
        <v>#N/A</v>
      </c>
      <c r="D70" s="218" t="str">
        <f>IF(E70="NR",VLOOKUP(B70,'Sovereign Ratings (Moody''s,S&amp;P)'!$G$9:$H$34,2,FALSE),E70)</f>
        <v>Aa3</v>
      </c>
      <c r="E70" s="220" t="str">
        <f>VLOOKUP(A70,'Ratings worksheet'!$A$2:$C$159,3,FALSE)</f>
        <v>Aa3</v>
      </c>
    </row>
    <row r="71" spans="1:5">
      <c r="A71" s="46" t="str">
        <f>'Ratings worksheet'!A71</f>
        <v>Israel</v>
      </c>
      <c r="B71" s="56" t="str">
        <f>VLOOKUP(A71,'Ratings worksheet'!$A$2:$C$159,2,FALSE)</f>
        <v>A</v>
      </c>
      <c r="C71" s="56" t="str">
        <f>VLOOKUP(A71,'Ratings worksheet'!$E$2:$H$159,4,FALSE)</f>
        <v>A</v>
      </c>
      <c r="D71" s="218" t="str">
        <f>IF(E71="NR",VLOOKUP(B71,'Sovereign Ratings (Moody''s,S&amp;P)'!$G$9:$H$34,2,FALSE),E71)</f>
        <v>Baa1</v>
      </c>
      <c r="E71" s="220" t="str">
        <f>VLOOKUP(A71,'Ratings worksheet'!$A$2:$C$159,3,FALSE)</f>
        <v>Baa1</v>
      </c>
    </row>
    <row r="72" spans="1:5">
      <c r="A72" s="46" t="str">
        <f>'Ratings worksheet'!A72</f>
        <v>Italy</v>
      </c>
      <c r="B72" s="56" t="str">
        <f>VLOOKUP(A72,'Ratings worksheet'!$A$2:$C$159,2,FALSE)</f>
        <v>BBB+</v>
      </c>
      <c r="C72" s="56" t="str">
        <f>VLOOKUP(A72,'Ratings worksheet'!$E$2:$H$159,4,FALSE)</f>
        <v>BBB+</v>
      </c>
      <c r="D72" s="218" t="str">
        <f>IF(E72="NR",VLOOKUP(B72,'Sovereign Ratings (Moody''s,S&amp;P)'!$G$9:$H$34,2,FALSE),E72)</f>
        <v>Baa2</v>
      </c>
      <c r="E72" s="220" t="str">
        <f>VLOOKUP(A72,'Ratings worksheet'!$A$2:$C$159,3,FALSE)</f>
        <v>Baa2</v>
      </c>
    </row>
    <row r="73" spans="1:5">
      <c r="A73" s="46" t="str">
        <f>'Ratings worksheet'!A73</f>
        <v>Jamaica</v>
      </c>
      <c r="B73" s="56" t="str">
        <f>VLOOKUP(A73,'Ratings worksheet'!$A$2:$C$159,2,FALSE)</f>
        <v>BB</v>
      </c>
      <c r="C73" s="56" t="str">
        <f>VLOOKUP(A73,'Ratings worksheet'!$E$2:$H$159,4,FALSE)</f>
        <v>BB-</v>
      </c>
      <c r="D73" s="218" t="str">
        <f>IF(E73="NR",VLOOKUP(B73,'Sovereign Ratings (Moody''s,S&amp;P)'!$G$9:$H$34,2,FALSE),E73)</f>
        <v>Ba3</v>
      </c>
      <c r="E73" s="220" t="str">
        <f>VLOOKUP(A73,'Ratings worksheet'!$A$2:$C$159,3,FALSE)</f>
        <v>Ba3</v>
      </c>
    </row>
    <row r="74" spans="1:5">
      <c r="A74" s="46" t="str">
        <f>'Ratings worksheet'!A74</f>
        <v>Japan</v>
      </c>
      <c r="B74" s="56" t="str">
        <f>VLOOKUP(A74,'Ratings worksheet'!$A$2:$C$159,2,FALSE)</f>
        <v>A+</v>
      </c>
      <c r="C74" s="56" t="str">
        <f>VLOOKUP(A74,'Ratings worksheet'!$E$2:$H$159,4,FALSE)</f>
        <v>A</v>
      </c>
      <c r="D74" s="218" t="str">
        <f>IF(E74="NR",VLOOKUP(B74,'Sovereign Ratings (Moody''s,S&amp;P)'!$G$9:$H$34,2,FALSE),E74)</f>
        <v>A1</v>
      </c>
      <c r="E74" s="220" t="str">
        <f>VLOOKUP(A74,'Ratings worksheet'!$A$2:$C$159,3,FALSE)</f>
        <v>A1</v>
      </c>
    </row>
    <row r="75" spans="1:5">
      <c r="A75" s="46" t="str">
        <f>'Ratings worksheet'!A75</f>
        <v>Jersey (States of)</v>
      </c>
      <c r="B75" s="56" t="str">
        <f>VLOOKUP(A75,'Ratings worksheet'!$A$2:$C$159,2,FALSE)</f>
        <v>AA-</v>
      </c>
      <c r="C75" s="56" t="e">
        <f>VLOOKUP(A75,'Ratings worksheet'!$E$2:$H$159,4,FALSE)</f>
        <v>#N/A</v>
      </c>
      <c r="D75" s="218" t="str">
        <f>IF(E75="NR",VLOOKUP(B75,'Sovereign Ratings (Moody''s,S&amp;P)'!$G$9:$H$34,2,FALSE),E75)</f>
        <v>Aa3</v>
      </c>
      <c r="E75" s="220" t="s">
        <v>272</v>
      </c>
    </row>
    <row r="76" spans="1:5">
      <c r="A76" s="46" t="str">
        <f>'Ratings worksheet'!A76</f>
        <v>Jordan</v>
      </c>
      <c r="B76" s="56" t="str">
        <f>VLOOKUP(A76,'Ratings worksheet'!$A$2:$C$159,2,FALSE)</f>
        <v>BB-</v>
      </c>
      <c r="C76" s="56" t="str">
        <f>VLOOKUP(A76,'Ratings worksheet'!$E$2:$H$159,4,FALSE)</f>
        <v>BB-</v>
      </c>
      <c r="D76" s="218" t="str">
        <f>IF(E76="NR",VLOOKUP(B76,'Sovereign Ratings (Moody''s,S&amp;P)'!$G$9:$H$34,2,FALSE),E76)</f>
        <v>Ba3</v>
      </c>
      <c r="E76" s="220" t="str">
        <f>VLOOKUP(A76,'Ratings worksheet'!$A$2:$C$159,3,FALSE)</f>
        <v>Ba3</v>
      </c>
    </row>
    <row r="77" spans="1:5">
      <c r="A77" s="46" t="str">
        <f>'Ratings worksheet'!A77</f>
        <v>Kazakhstan</v>
      </c>
      <c r="B77" s="56" t="str">
        <f>VLOOKUP(A77,'Ratings worksheet'!$A$2:$C$159,2,FALSE)</f>
        <v>BBB-</v>
      </c>
      <c r="C77" s="56" t="str">
        <f>VLOOKUP(A77,'Ratings worksheet'!$E$2:$H$159,4,FALSE)</f>
        <v>BBB</v>
      </c>
      <c r="D77" s="218" t="str">
        <f>IF(E77="NR",VLOOKUP(B77,'Sovereign Ratings (Moody''s,S&amp;P)'!$G$9:$H$34,2,FALSE),E77)</f>
        <v>Baa1</v>
      </c>
      <c r="E77" s="220" t="str">
        <f>VLOOKUP(A77,'Ratings worksheet'!$A$2:$C$159,3,FALSE)</f>
        <v>Baa1</v>
      </c>
    </row>
    <row r="78" spans="1:5">
      <c r="A78" s="46" t="str">
        <f>'Ratings worksheet'!A78</f>
        <v>Kenya</v>
      </c>
      <c r="B78" s="56" t="str">
        <f>VLOOKUP(A78,'Ratings worksheet'!$A$2:$C$159,2,FALSE)</f>
        <v>B</v>
      </c>
      <c r="C78" s="56" t="str">
        <f>VLOOKUP(A78,'Ratings worksheet'!$E$2:$H$159,4,FALSE)</f>
        <v>B-</v>
      </c>
      <c r="D78" s="218" t="str">
        <f>IF(E78="NR",VLOOKUP(B78,'Sovereign Ratings (Moody''s,S&amp;P)'!$G$9:$H$34,2,FALSE),E78)</f>
        <v>B3</v>
      </c>
      <c r="E78" s="220" t="str">
        <f>VLOOKUP(A78,'Ratings worksheet'!$A$2:$C$159,3,FALSE)</f>
        <v>B3</v>
      </c>
    </row>
    <row r="79" spans="1:5">
      <c r="A79" s="46" t="str">
        <f>'Ratings worksheet'!A79</f>
        <v>Korea</v>
      </c>
      <c r="B79" s="56" t="str">
        <f>VLOOKUP(A79,'Ratings worksheet'!$A$2:$C$159,2,FALSE)</f>
        <v>AA</v>
      </c>
      <c r="C79" s="56" t="e">
        <f>VLOOKUP(A79,'Ratings worksheet'!$E$2:$H$159,4,FALSE)</f>
        <v>#N/A</v>
      </c>
      <c r="D79" s="218" t="str">
        <f>IF(E79="NR",VLOOKUP(B79,'Sovereign Ratings (Moody''s,S&amp;P)'!$G$9:$H$34,2,FALSE),E79)</f>
        <v>Aa2</v>
      </c>
      <c r="E79" s="220" t="str">
        <f>VLOOKUP(A79,'Ratings worksheet'!$A$2:$C$159,3,FALSE)</f>
        <v>Aa2</v>
      </c>
    </row>
    <row r="80" spans="1:5">
      <c r="A80" s="46" t="str">
        <f>'Ratings worksheet'!A80</f>
        <v>Kuwait</v>
      </c>
      <c r="B80" s="56" t="str">
        <f>VLOOKUP(A80,'Ratings worksheet'!$A$2:$C$159,2,FALSE)</f>
        <v>AA-</v>
      </c>
      <c r="C80" s="56" t="str">
        <f>VLOOKUP(A80,'Ratings worksheet'!$E$2:$H$159,4,FALSE)</f>
        <v>AA-</v>
      </c>
      <c r="D80" s="218" t="str">
        <f>IF(E80="NR",VLOOKUP(B80,'Sovereign Ratings (Moody''s,S&amp;P)'!$G$9:$H$34,2,FALSE),E80)</f>
        <v>A1</v>
      </c>
      <c r="E80" s="220" t="str">
        <f>VLOOKUP(A80,'Ratings worksheet'!$A$2:$C$159,3,FALSE)</f>
        <v>A1</v>
      </c>
    </row>
    <row r="81" spans="1:5">
      <c r="A81" s="46" t="str">
        <f>'Ratings worksheet'!A81</f>
        <v>Kyrgyzstan</v>
      </c>
      <c r="B81" s="56" t="e">
        <f>VLOOKUP(A81,'Ratings worksheet'!$A$2:$C$159,2,FALSE)</f>
        <v>#N/A</v>
      </c>
      <c r="C81" s="56" t="e">
        <f>VLOOKUP(A81,'Ratings worksheet'!$E$2:$H$159,4,FALSE)</f>
        <v>#N/A</v>
      </c>
      <c r="D81" s="218" t="str">
        <f>IF(E81="NR",VLOOKUP(B81,'Sovereign Ratings (Moody''s,S&amp;P)'!$G$9:$H$34,2,FALSE),E81)</f>
        <v>B3</v>
      </c>
      <c r="E81" s="220" t="str">
        <f>VLOOKUP(A81,'Ratings worksheet'!$A$2:$C$159,3,FALSE)</f>
        <v>B3</v>
      </c>
    </row>
    <row r="82" spans="1:5">
      <c r="A82" s="46" t="str">
        <f>'Ratings worksheet'!A82</f>
        <v>Laos</v>
      </c>
      <c r="B82" s="56" t="str">
        <f>VLOOKUP(A82,'Ratings worksheet'!$A$2:$C$159,2,FALSE)</f>
        <v>CCC+</v>
      </c>
      <c r="C82" s="56" t="str">
        <f>VLOOKUP(A82,'Ratings worksheet'!$E$2:$H$159,4,FALSE)</f>
        <v>CCC+</v>
      </c>
      <c r="D82" s="218" t="str">
        <f>IF(E82="NR",VLOOKUP(B82,'Sovereign Ratings (Moody''s,S&amp;P)'!$G$9:$H$34,2,FALSE),E82)</f>
        <v>Caa2</v>
      </c>
      <c r="E82" s="220" t="str">
        <f>VLOOKUP(A82,'Ratings worksheet'!$A$2:$C$159,3,FALSE)</f>
        <v>Caa2</v>
      </c>
    </row>
    <row r="83" spans="1:5">
      <c r="A83" s="46" t="str">
        <f>'Ratings worksheet'!A83</f>
        <v>Latvia</v>
      </c>
      <c r="B83" s="56" t="str">
        <f>VLOOKUP(A83,'Ratings worksheet'!$A$2:$C$159,2,FALSE)</f>
        <v>A</v>
      </c>
      <c r="C83" s="56" t="str">
        <f>VLOOKUP(A83,'Ratings worksheet'!$E$2:$H$159,4,FALSE)</f>
        <v>A-</v>
      </c>
      <c r="D83" s="218" t="str">
        <f>IF(E83="NR",VLOOKUP(B83,'Sovereign Ratings (Moody''s,S&amp;P)'!$G$9:$H$34,2,FALSE),E83)</f>
        <v>A3</v>
      </c>
      <c r="E83" s="220" t="str">
        <f>VLOOKUP(A83,'Ratings worksheet'!$A$2:$C$159,3,FALSE)</f>
        <v>A3</v>
      </c>
    </row>
    <row r="84" spans="1:5">
      <c r="A84" s="46" t="str">
        <f>'Ratings worksheet'!A84</f>
        <v>Lebanon</v>
      </c>
      <c r="B84" s="56" t="str">
        <f>VLOOKUP(A84,'Ratings worksheet'!$A$2:$C$159,2,FALSE)</f>
        <v>SD</v>
      </c>
      <c r="C84" s="56" t="str">
        <f>VLOOKUP(A84,'Ratings worksheet'!$E$2:$H$159,4,FALSE)</f>
        <v>NR</v>
      </c>
      <c r="D84" s="218" t="str">
        <f>IF(E84="NR",VLOOKUP(B84,'Sovereign Ratings (Moody''s,S&amp;P)'!$G$9:$H$34,2,FALSE),E84)</f>
        <v>C</v>
      </c>
      <c r="E84" s="220" t="str">
        <f>VLOOKUP(A84,'Ratings worksheet'!$A$2:$C$159,3,FALSE)</f>
        <v>C</v>
      </c>
    </row>
    <row r="85" spans="1:5">
      <c r="A85" s="46" t="str">
        <f>'Ratings worksheet'!A85</f>
        <v>Liechtenstein</v>
      </c>
      <c r="B85" s="56" t="str">
        <f>VLOOKUP(A85,'Ratings worksheet'!$A$2:$C$159,2,FALSE)</f>
        <v>AAA</v>
      </c>
      <c r="C85" s="56" t="str">
        <f>VLOOKUP(A85,'Ratings worksheet'!$E$2:$H$159,4,FALSE)</f>
        <v>NR</v>
      </c>
      <c r="D85" s="218" t="str">
        <f>IF(E85="NR",VLOOKUP(B85,'Sovereign Ratings (Moody''s,S&amp;P)'!$G$9:$H$34,2,FALSE),E85)</f>
        <v>Aaa</v>
      </c>
      <c r="E85" s="220" t="str">
        <f>VLOOKUP(A85,'Ratings worksheet'!$A$2:$C$159,3,FALSE)</f>
        <v>NR</v>
      </c>
    </row>
    <row r="86" spans="1:5">
      <c r="A86" s="46" t="str">
        <f>'Ratings worksheet'!A86</f>
        <v>Lithuania</v>
      </c>
      <c r="B86" s="56" t="str">
        <f>VLOOKUP(A86,'Ratings worksheet'!$A$2:$C$159,2,FALSE)</f>
        <v>A</v>
      </c>
      <c r="C86" s="56" t="str">
        <f>VLOOKUP(A86,'Ratings worksheet'!$E$2:$H$159,4,FALSE)</f>
        <v>A</v>
      </c>
      <c r="D86" s="218" t="str">
        <f>IF(E86="NR",VLOOKUP(B86,'Sovereign Ratings (Moody''s,S&amp;P)'!$G$9:$H$34,2,FALSE),E86)</f>
        <v>A2</v>
      </c>
      <c r="E86" s="220" t="str">
        <f>VLOOKUP(A86,'Ratings worksheet'!$A$2:$C$159,3,FALSE)</f>
        <v>A2</v>
      </c>
    </row>
    <row r="87" spans="1:5">
      <c r="A87" s="46" t="str">
        <f>'Ratings worksheet'!A87</f>
        <v>Luxembourg</v>
      </c>
      <c r="B87" s="56" t="str">
        <f>VLOOKUP(A87,'Ratings worksheet'!$A$2:$C$159,2,FALSE)</f>
        <v>AAA</v>
      </c>
      <c r="C87" s="56" t="str">
        <f>VLOOKUP(A87,'Ratings worksheet'!$E$2:$H$159,4,FALSE)</f>
        <v>AAA</v>
      </c>
      <c r="D87" s="218" t="str">
        <f>IF(E87="NR",VLOOKUP(B87,'Sovereign Ratings (Moody''s,S&amp;P)'!$G$9:$H$34,2,FALSE),E87)</f>
        <v>Aaa</v>
      </c>
      <c r="E87" s="220" t="str">
        <f>VLOOKUP(A87,'Ratings worksheet'!$A$2:$C$159,3,FALSE)</f>
        <v>Aaa</v>
      </c>
    </row>
    <row r="88" spans="1:5">
      <c r="A88" s="46" t="str">
        <f>'Ratings worksheet'!A88</f>
        <v>Macao</v>
      </c>
      <c r="B88" s="56" t="str">
        <f>VLOOKUP(A88,'Ratings worksheet'!$A$2:$C$159,2,FALSE)</f>
        <v>NR</v>
      </c>
      <c r="C88" s="56" t="str">
        <f>VLOOKUP(A88,'Ratings worksheet'!$E$2:$H$159,4,FALSE)</f>
        <v>AA</v>
      </c>
      <c r="D88" s="218" t="str">
        <f>IF(E88="NR",VLOOKUP(B88,'Sovereign Ratings (Moody''s,S&amp;P)'!$G$9:$H$34,2,FALSE),E88)</f>
        <v>Aa3</v>
      </c>
      <c r="E88" s="220" t="str">
        <f>VLOOKUP(A88,'Ratings worksheet'!$A$2:$C$159,3,FALSE)</f>
        <v>Aa3</v>
      </c>
    </row>
    <row r="89" spans="1:5">
      <c r="A89" s="46" t="str">
        <f>'Ratings worksheet'!A89</f>
        <v>Macedonia</v>
      </c>
      <c r="B89" s="56" t="str">
        <f>VLOOKUP(A89,'Ratings worksheet'!$A$2:$C$159,2,FALSE)</f>
        <v>BB-</v>
      </c>
      <c r="C89" s="56" t="e">
        <f>VLOOKUP(A89,'Ratings worksheet'!$E$2:$H$159,4,FALSE)</f>
        <v>#N/A</v>
      </c>
      <c r="D89" s="218" t="str">
        <f>IF(E89="NR",VLOOKUP(B89,'Sovereign Ratings (Moody''s,S&amp;P)'!$G$9:$H$34,2,FALSE),E89)</f>
        <v>Ba3</v>
      </c>
      <c r="E89" s="220" t="str">
        <f>VLOOKUP(A89,'Ratings worksheet'!$A$2:$C$159,3,FALSE)</f>
        <v>NR</v>
      </c>
    </row>
    <row r="90" spans="1:5">
      <c r="A90" s="46" t="str">
        <f>'Ratings worksheet'!A90</f>
        <v>Malaysia</v>
      </c>
      <c r="B90" s="56" t="str">
        <f>VLOOKUP(A90,'Ratings worksheet'!$A$2:$C$159,2,FALSE)</f>
        <v>A-</v>
      </c>
      <c r="C90" s="56" t="str">
        <f>VLOOKUP(A90,'Ratings worksheet'!$E$2:$H$159,4,FALSE)</f>
        <v>BBB+</v>
      </c>
      <c r="D90" s="218" t="str">
        <f>IF(E90="NR",VLOOKUP(B90,'Sovereign Ratings (Moody''s,S&amp;P)'!$G$9:$H$34,2,FALSE),E90)</f>
        <v>A3</v>
      </c>
      <c r="E90" s="220" t="str">
        <f>VLOOKUP(A90,'Ratings worksheet'!$A$2:$C$159,3,FALSE)</f>
        <v>A3</v>
      </c>
    </row>
    <row r="91" spans="1:5">
      <c r="A91" s="46" t="str">
        <f>'Ratings worksheet'!A91</f>
        <v>Maldives</v>
      </c>
      <c r="B91" s="56" t="str">
        <f>VLOOKUP(A91,'Ratings worksheet'!$A$2:$C$159,2,FALSE)</f>
        <v>NR</v>
      </c>
      <c r="C91" s="56" t="str">
        <f>VLOOKUP(A91,'Ratings worksheet'!$E$2:$H$159,4,FALSE)</f>
        <v>CC</v>
      </c>
      <c r="D91" s="218" t="str">
        <f>IF(E91="NR",VLOOKUP(B91,'Sovereign Ratings (Moody''s,S&amp;P)'!$G$9:$H$34,2,FALSE),E91)</f>
        <v>Caa2</v>
      </c>
      <c r="E91" s="220" t="str">
        <f>VLOOKUP(A91,'Ratings worksheet'!$A$2:$C$159,3,FALSE)</f>
        <v>Caa2</v>
      </c>
    </row>
    <row r="92" spans="1:5">
      <c r="A92" s="46" t="str">
        <f>'Ratings worksheet'!A92</f>
        <v>Mali</v>
      </c>
      <c r="B92" s="56" t="str">
        <f>VLOOKUP(A92,'Ratings worksheet'!$A$2:$C$159,2,FALSE)</f>
        <v>NR</v>
      </c>
      <c r="C92" s="56" t="str">
        <f>VLOOKUP(A92,'Ratings worksheet'!$E$2:$H$159,4,FALSE)</f>
        <v>B-</v>
      </c>
      <c r="D92" s="218" t="str">
        <f>IF(E92="NR",VLOOKUP(B92,'Sovereign Ratings (Moody''s,S&amp;P)'!$G$9:$H$34,2,FALSE),E92)</f>
        <v>Caa2</v>
      </c>
      <c r="E92" s="220" t="str">
        <f>VLOOKUP(A92,'Ratings worksheet'!$A$2:$C$159,3,FALSE)</f>
        <v>Caa2</v>
      </c>
    </row>
    <row r="93" spans="1:5">
      <c r="A93" s="46" t="str">
        <f>'Ratings worksheet'!A93</f>
        <v>Malta</v>
      </c>
      <c r="B93" s="56" t="str">
        <f>VLOOKUP(A93,'Ratings worksheet'!$A$2:$C$159,2,FALSE)</f>
        <v>A-</v>
      </c>
      <c r="C93" s="56" t="str">
        <f>VLOOKUP(A93,'Ratings worksheet'!$E$2:$H$159,4,FALSE)</f>
        <v>A+</v>
      </c>
      <c r="D93" s="218" t="str">
        <f>IF(E93="NR",VLOOKUP(B93,'Sovereign Ratings (Moody''s,S&amp;P)'!$G$9:$H$34,2,FALSE),E93)</f>
        <v>A2</v>
      </c>
      <c r="E93" s="220" t="str">
        <f>VLOOKUP(A93,'Ratings worksheet'!$A$2:$C$159,3,FALSE)</f>
        <v>A2</v>
      </c>
    </row>
    <row r="94" spans="1:5">
      <c r="A94" s="46" t="str">
        <f>'Ratings worksheet'!A94</f>
        <v>Mauritius</v>
      </c>
      <c r="B94" s="56" t="str">
        <f>VLOOKUP(A94,'Ratings worksheet'!$A$2:$C$159,2,FALSE)</f>
        <v>BBB-</v>
      </c>
      <c r="C94" s="56" t="str">
        <f>VLOOKUP(A94,'Ratings worksheet'!$E$2:$H$159,4,FALSE)</f>
        <v>NR</v>
      </c>
      <c r="D94" s="218" t="str">
        <f>IF(E94="NR",VLOOKUP(B94,'Sovereign Ratings (Moody''s,S&amp;P)'!$G$9:$H$34,2,FALSE),E94)</f>
        <v>Baa3</v>
      </c>
      <c r="E94" s="220" t="str">
        <f>VLOOKUP(A94,'Ratings worksheet'!$A$2:$C$159,3,FALSE)</f>
        <v>Baa3</v>
      </c>
    </row>
    <row r="95" spans="1:5">
      <c r="A95" s="46" t="str">
        <f>'Ratings worksheet'!A95</f>
        <v>Mexico</v>
      </c>
      <c r="B95" s="56" t="str">
        <f>VLOOKUP(A95,'Ratings worksheet'!$A$2:$C$159,2,FALSE)</f>
        <v>BBB</v>
      </c>
      <c r="C95" s="56" t="str">
        <f>VLOOKUP(A95,'Ratings worksheet'!$E$2:$H$159,4,FALSE)</f>
        <v>BBB-</v>
      </c>
      <c r="D95" s="218" t="str">
        <f>IF(E95="NR",VLOOKUP(B95,'Sovereign Ratings (Moody''s,S&amp;P)'!$G$9:$H$34,2,FALSE),E95)</f>
        <v>Baa2</v>
      </c>
      <c r="E95" s="220" t="str">
        <f>VLOOKUP(A95,'Ratings worksheet'!$A$2:$C$159,3,FALSE)</f>
        <v>Baa2</v>
      </c>
    </row>
    <row r="96" spans="1:5">
      <c r="A96" s="46" t="str">
        <f>'Ratings worksheet'!A96</f>
        <v>Moldova</v>
      </c>
      <c r="B96" s="56" t="str">
        <f>VLOOKUP(A96,'Ratings worksheet'!$A$2:$C$159,2,FALSE)</f>
        <v>BB-</v>
      </c>
      <c r="C96" s="56" t="str">
        <f>VLOOKUP(A96,'Ratings worksheet'!$E$2:$H$159,4,FALSE)</f>
        <v>B+</v>
      </c>
      <c r="D96" s="218" t="str">
        <f>IF(E96="NR",VLOOKUP(B96,'Sovereign Ratings (Moody''s,S&amp;P)'!$G$9:$H$34,2,FALSE),E96)</f>
        <v>B3</v>
      </c>
      <c r="E96" s="220" t="str">
        <f>VLOOKUP(A96,'Ratings worksheet'!$A$2:$C$159,3,FALSE)</f>
        <v>B3</v>
      </c>
    </row>
    <row r="97" spans="1:5">
      <c r="A97" s="46" t="str">
        <f>'Ratings worksheet'!A97</f>
        <v>Mongolia</v>
      </c>
      <c r="B97" s="56" t="str">
        <f>VLOOKUP(A97,'Ratings worksheet'!$A$2:$C$159,2,FALSE)</f>
        <v>BB-</v>
      </c>
      <c r="C97" s="56" t="str">
        <f>VLOOKUP(A97,'Ratings worksheet'!$E$2:$H$159,4,FALSE)</f>
        <v>B+</v>
      </c>
      <c r="D97" s="218" t="str">
        <f>IF(E97="NR",VLOOKUP(B97,'Sovereign Ratings (Moody''s,S&amp;P)'!$G$9:$H$34,2,FALSE),E97)</f>
        <v>B1</v>
      </c>
      <c r="E97" s="220" t="str">
        <f>VLOOKUP(A97,'Ratings worksheet'!$A$2:$C$159,3,FALSE)</f>
        <v>B1</v>
      </c>
    </row>
    <row r="98" spans="1:5">
      <c r="A98" s="46" t="str">
        <f>'Ratings worksheet'!A98</f>
        <v>Montenegro</v>
      </c>
      <c r="B98" s="56" t="str">
        <f>VLOOKUP(A98,'Ratings worksheet'!$A$2:$C$159,2,FALSE)</f>
        <v>B+</v>
      </c>
      <c r="C98" s="56" t="str">
        <f>VLOOKUP(A98,'Ratings worksheet'!$E$2:$H$159,4,FALSE)</f>
        <v>NR</v>
      </c>
      <c r="D98" s="218" t="str">
        <f>IF(E98="NR",VLOOKUP(B98,'Sovereign Ratings (Moody''s,S&amp;P)'!$G$9:$H$34,2,FALSE),E98)</f>
        <v>B1</v>
      </c>
      <c r="E98" s="220" t="str">
        <f>VLOOKUP(A98,'Ratings worksheet'!$A$2:$C$159,3,FALSE)</f>
        <v>B1</v>
      </c>
    </row>
    <row r="99" spans="1:5">
      <c r="A99" s="46" t="str">
        <f>'Ratings worksheet'!A99</f>
        <v>Montserrat</v>
      </c>
      <c r="B99" s="56" t="str">
        <f>VLOOKUP(A99,'Ratings worksheet'!$A$2:$C$159,2,FALSE)</f>
        <v>BBB-</v>
      </c>
      <c r="C99" s="56" t="str">
        <f>VLOOKUP(A99,'Ratings worksheet'!$E$2:$H$159,4,FALSE)</f>
        <v>NR</v>
      </c>
      <c r="D99" s="218" t="str">
        <f>IF(E99="NR",VLOOKUP(B99,'Sovereign Ratings (Moody''s,S&amp;P)'!$G$9:$H$34,2,FALSE),E99)</f>
        <v>Baa3</v>
      </c>
      <c r="E99" s="220" t="str">
        <f>VLOOKUP(A99,'Ratings worksheet'!$A$2:$C$159,3,FALSE)</f>
        <v>NR</v>
      </c>
    </row>
    <row r="100" spans="1:5">
      <c r="A100" s="46" t="str">
        <f>'Ratings worksheet'!A100</f>
        <v>Morocco</v>
      </c>
      <c r="B100" s="56" t="str">
        <f>VLOOKUP(A100,'Ratings worksheet'!$A$2:$C$159,2,FALSE)</f>
        <v>BBB-</v>
      </c>
      <c r="C100" s="56" t="str">
        <f>VLOOKUP(A100,'Ratings worksheet'!$E$2:$H$159,4,FALSE)</f>
        <v>BB+</v>
      </c>
      <c r="D100" s="218" t="str">
        <f>IF(E100="NR",VLOOKUP(B100,'Sovereign Ratings (Moody''s,S&amp;P)'!$G$9:$H$34,2,FALSE),E100)</f>
        <v>Ba1</v>
      </c>
      <c r="E100" s="220" t="str">
        <f>VLOOKUP(A100,'Ratings worksheet'!$A$2:$C$159,3,FALSE)</f>
        <v>Ba1</v>
      </c>
    </row>
    <row r="101" spans="1:5">
      <c r="A101" s="46" t="str">
        <f>'Ratings worksheet'!A101</f>
        <v>Mozambique</v>
      </c>
      <c r="B101" s="56" t="str">
        <f>VLOOKUP(A101,'Ratings worksheet'!$A$2:$C$159,2,FALSE)</f>
        <v>CCC+</v>
      </c>
      <c r="C101" s="56" t="str">
        <f>VLOOKUP(A101,'Ratings worksheet'!$E$2:$H$159,4,FALSE)</f>
        <v>CCC</v>
      </c>
      <c r="D101" s="218" t="str">
        <f>IF(E101="NR",VLOOKUP(B101,'Sovereign Ratings (Moody''s,S&amp;P)'!$G$9:$H$34,2,FALSE),E101)</f>
        <v>Caa3</v>
      </c>
      <c r="E101" s="220" t="str">
        <f>VLOOKUP(A101,'Ratings worksheet'!$A$2:$C$159,3,FALSE)</f>
        <v>Caa3</v>
      </c>
    </row>
    <row r="102" spans="1:5">
      <c r="A102" s="46" t="str">
        <f>'Ratings worksheet'!A102</f>
        <v>Namibia</v>
      </c>
      <c r="B102" s="56">
        <f>VLOOKUP(A102,'Ratings worksheet'!$A$2:$C$159,2,FALSE)</f>
        <v>0</v>
      </c>
      <c r="C102" s="56" t="str">
        <f>VLOOKUP(A102,'Ratings worksheet'!$E$2:$H$159,4,FALSE)</f>
        <v>BB-</v>
      </c>
      <c r="D102" s="218" t="str">
        <f>IF(E102="NR",VLOOKUP(B102,'Sovereign Ratings (Moody''s,S&amp;P)'!$G$9:$H$34,2,FALSE),E102)</f>
        <v>B1</v>
      </c>
      <c r="E102" s="220" t="str">
        <f>VLOOKUP(A102,'Ratings worksheet'!$A$2:$C$159,3,FALSE)</f>
        <v>B1</v>
      </c>
    </row>
    <row r="103" spans="1:5">
      <c r="A103" s="46" t="str">
        <f>'Ratings worksheet'!E103</f>
        <v>Nepal</v>
      </c>
      <c r="B103" s="56" t="str">
        <f>VLOOKUP(A103,'Ratings worksheet'!$A$2:$C$159,2,FALSE)</f>
        <v>NR</v>
      </c>
      <c r="C103" s="56" t="str">
        <f>VLOOKUP(A103,'Ratings worksheet'!$E$2:$H$159,4,FALSE)</f>
        <v>BB-</v>
      </c>
      <c r="D103" s="218" t="str">
        <f>IF(E103="NR",VLOOKUP(C103,'Sovereign Ratings (Moody''s,S&amp;P)'!$G$9:$H$34,2,FALSE),E103)</f>
        <v>Ba3</v>
      </c>
      <c r="E103" s="220" t="str">
        <f>VLOOKUP(A103,'Ratings worksheet'!$A$2:$C$159,3,FALSE)</f>
        <v>NR</v>
      </c>
    </row>
    <row r="104" spans="1:5">
      <c r="A104" s="46" t="str">
        <f>'Ratings worksheet'!A104</f>
        <v>Netherlands</v>
      </c>
      <c r="B104" s="56" t="str">
        <f>VLOOKUP(A104,'Ratings worksheet'!$A$2:$C$159,2,FALSE)</f>
        <v>AAA</v>
      </c>
      <c r="C104" s="56" t="str">
        <f>VLOOKUP(A104,'Ratings worksheet'!$E$2:$H$159,4,FALSE)</f>
        <v>AAA</v>
      </c>
      <c r="D104" s="218" t="str">
        <f>IF(E104="NR",VLOOKUP(B104,'Sovereign Ratings (Moody''s,S&amp;P)'!$G$9:$H$34,2,FALSE),E104)</f>
        <v>Aaa</v>
      </c>
      <c r="E104" s="220" t="str">
        <f>VLOOKUP(A104,'Ratings worksheet'!$A$2:$C$159,3,FALSE)</f>
        <v>Aaa</v>
      </c>
    </row>
    <row r="105" spans="1:5">
      <c r="A105" s="46" t="str">
        <f>'Ratings worksheet'!A105</f>
        <v>New Zealand</v>
      </c>
      <c r="B105" s="56" t="str">
        <f>VLOOKUP(A105,'Ratings worksheet'!$A$2:$C$159,2,FALSE)</f>
        <v>AA+</v>
      </c>
      <c r="C105" s="56" t="str">
        <f>VLOOKUP(A105,'Ratings worksheet'!$E$2:$H$159,4,FALSE)</f>
        <v>AA+</v>
      </c>
      <c r="D105" s="218" t="str">
        <f>IF(E105="NR",VLOOKUP(B105,'Sovereign Ratings (Moody''s,S&amp;P)'!$G$9:$H$34,2,FALSE),E105)</f>
        <v>Aaa</v>
      </c>
      <c r="E105" s="220" t="str">
        <f>VLOOKUP(A105,'Ratings worksheet'!$A$2:$C$159,3,FALSE)</f>
        <v>Aaa</v>
      </c>
    </row>
    <row r="106" spans="1:5">
      <c r="A106" s="46" t="str">
        <f>'Ratings worksheet'!A106</f>
        <v>Nicaragua</v>
      </c>
      <c r="B106" s="56" t="str">
        <f>VLOOKUP(A106,'Ratings worksheet'!$A$2:$C$159,2,FALSE)</f>
        <v>B+</v>
      </c>
      <c r="C106" s="56" t="str">
        <f>VLOOKUP(A106,'Ratings worksheet'!$E$2:$H$159,4,FALSE)</f>
        <v>B</v>
      </c>
      <c r="D106" s="218" t="str">
        <f>IF(E106="NR",VLOOKUP(B106,'Sovereign Ratings (Moody''s,S&amp;P)'!$G$9:$H$34,2,FALSE),E106)</f>
        <v>B2</v>
      </c>
      <c r="E106" s="220" t="str">
        <f>VLOOKUP(A106,'Ratings worksheet'!$A$2:$C$159,3,FALSE)</f>
        <v>B2</v>
      </c>
    </row>
    <row r="107" spans="1:5">
      <c r="A107" s="46" t="str">
        <f>'Ratings worksheet'!A107</f>
        <v>Niger</v>
      </c>
      <c r="B107" s="56">
        <f>VLOOKUP(A107,'Ratings worksheet'!$A$2:$C$159,2,FALSE)</f>
        <v>0</v>
      </c>
      <c r="C107" s="56" t="str">
        <f>VLOOKUP(A107,'Ratings worksheet'!$E$2:$H$159,4,FALSE)</f>
        <v>NR</v>
      </c>
      <c r="D107" s="218" t="str">
        <f>IF(E107="NR",VLOOKUP(B107,'Sovereign Ratings (Moody''s,S&amp;P)'!$G$9:$H$34,2,FALSE),E107)</f>
        <v>Caa3</v>
      </c>
      <c r="E107" s="220" t="str">
        <f>VLOOKUP(A107,'Ratings worksheet'!$A$2:$C$159,3,FALSE)</f>
        <v>Caa3</v>
      </c>
    </row>
    <row r="108" spans="1:5">
      <c r="A108" s="46" t="str">
        <f>'Ratings worksheet'!A108</f>
        <v>Nigeria</v>
      </c>
      <c r="B108" s="56" t="str">
        <f>VLOOKUP(A108,'Ratings worksheet'!$A$2:$C$159,2,FALSE)</f>
        <v>B-</v>
      </c>
      <c r="C108" s="56" t="str">
        <f>VLOOKUP(A108,'Ratings worksheet'!$E$2:$H$159,4,FALSE)</f>
        <v>B</v>
      </c>
      <c r="D108" s="218" t="str">
        <f>IF(E108="NR",VLOOKUP(B108,'Sovereign Ratings (Moody''s,S&amp;P)'!$G$9:$H$34,2,FALSE),E108)</f>
        <v>B3</v>
      </c>
      <c r="E108" s="220" t="str">
        <f>VLOOKUP(A108,'Ratings worksheet'!$A$2:$C$159,3,FALSE)</f>
        <v>B3</v>
      </c>
    </row>
    <row r="109" spans="1:5">
      <c r="A109" s="46" t="str">
        <f>'Ratings worksheet'!A109</f>
        <v>Norway</v>
      </c>
      <c r="B109" s="56" t="str">
        <f>VLOOKUP(A109,'Ratings worksheet'!$A$2:$C$159,2,FALSE)</f>
        <v>AAA</v>
      </c>
      <c r="C109" s="56" t="str">
        <f>VLOOKUP(A109,'Ratings worksheet'!$E$2:$H$159,4,FALSE)</f>
        <v>AAA</v>
      </c>
      <c r="D109" s="218" t="str">
        <f>IF(E109="NR",VLOOKUP(B109,'Sovereign Ratings (Moody''s,S&amp;P)'!$G$9:$H$34,2,FALSE),E109)</f>
        <v>Aaa</v>
      </c>
      <c r="E109" s="220" t="str">
        <f>VLOOKUP(A109,'Ratings worksheet'!$A$2:$C$159,3,FALSE)</f>
        <v>Aaa</v>
      </c>
    </row>
    <row r="110" spans="1:5">
      <c r="A110" s="46" t="str">
        <f>'Ratings worksheet'!A110</f>
        <v>Oman</v>
      </c>
      <c r="B110" s="56" t="str">
        <f>VLOOKUP(A110,'Ratings worksheet'!$A$2:$C$159,2,FALSE)</f>
        <v>BBB-</v>
      </c>
      <c r="C110" s="56" t="str">
        <f>VLOOKUP(A110,'Ratings worksheet'!$E$2:$H$159,4,FALSE)</f>
        <v>BBB-</v>
      </c>
      <c r="D110" s="218" t="str">
        <f>IF(E110="NR",VLOOKUP(B110,'Sovereign Ratings (Moody''s,S&amp;P)'!$G$9:$H$34,2,FALSE),E110)</f>
        <v>Baa3</v>
      </c>
      <c r="E110" s="220" t="str">
        <f>VLOOKUP(A110,'Ratings worksheet'!$A$2:$C$159,3,FALSE)</f>
        <v>Baa3</v>
      </c>
    </row>
    <row r="111" spans="1:5">
      <c r="A111" s="46" t="str">
        <f>'Ratings worksheet'!A111</f>
        <v>Pakistan</v>
      </c>
      <c r="B111" s="56" t="str">
        <f>VLOOKUP(A111,'Ratings worksheet'!$A$2:$C$159,2,FALSE)</f>
        <v>B-</v>
      </c>
      <c r="C111" s="56" t="str">
        <f>VLOOKUP(A111,'Ratings worksheet'!$E$2:$H$159,4,FALSE)</f>
        <v>B-</v>
      </c>
      <c r="D111" s="218" t="str">
        <f>IF(E111="NR",VLOOKUP(B111,'Sovereign Ratings (Moody''s,S&amp;P)'!$G$9:$H$34,2,FALSE),E111)</f>
        <v>Caa1</v>
      </c>
      <c r="E111" s="220" t="str">
        <f>VLOOKUP(A111,'Ratings worksheet'!$A$2:$C$159,3,FALSE)</f>
        <v>Caa1</v>
      </c>
    </row>
    <row r="112" spans="1:5">
      <c r="A112" s="46" t="str">
        <f>'Ratings worksheet'!A112</f>
        <v>Panama</v>
      </c>
      <c r="B112" s="56" t="str">
        <f>VLOOKUP(A112,'Ratings worksheet'!$A$2:$C$159,2,FALSE)</f>
        <v>BBB-</v>
      </c>
      <c r="C112" s="56" t="str">
        <f>VLOOKUP(A112,'Ratings worksheet'!$E$2:$H$159,4,FALSE)</f>
        <v>BB+</v>
      </c>
      <c r="D112" s="218" t="str">
        <f>IF(E112="NR",VLOOKUP(B112,'Sovereign Ratings (Moody''s,S&amp;P)'!$G$9:$H$34,2,FALSE),E112)</f>
        <v>Baa3</v>
      </c>
      <c r="E112" s="220" t="str">
        <f>VLOOKUP(A112,'Ratings worksheet'!$A$2:$C$159,3,FALSE)</f>
        <v>Baa3</v>
      </c>
    </row>
    <row r="113" spans="1:5">
      <c r="A113" s="46" t="str">
        <f>'Ratings worksheet'!A113</f>
        <v>Papua New Guinea</v>
      </c>
      <c r="B113" s="56" t="str">
        <f>VLOOKUP(A113,'Ratings worksheet'!$A$2:$C$159,2,FALSE)</f>
        <v>B-</v>
      </c>
      <c r="C113" s="56" t="str">
        <f>VLOOKUP(A113,'Ratings worksheet'!$E$2:$H$159,4,FALSE)</f>
        <v>B+</v>
      </c>
      <c r="D113" s="218" t="str">
        <f>IF(E113="NR",VLOOKUP(B113,'Sovereign Ratings (Moody''s,S&amp;P)'!$G$9:$H$34,2,FALSE),E113)</f>
        <v>B2</v>
      </c>
      <c r="E113" s="220" t="str">
        <f>VLOOKUP(A113,'Ratings worksheet'!$A$2:$C$159,3,FALSE)</f>
        <v>B2</v>
      </c>
    </row>
    <row r="114" spans="1:5">
      <c r="A114" s="46" t="str">
        <f>'Ratings worksheet'!A114</f>
        <v>Paraguay</v>
      </c>
      <c r="B114" s="56" t="str">
        <f>VLOOKUP(A114,'Ratings worksheet'!$A$2:$C$159,2,FALSE)</f>
        <v>BBB-</v>
      </c>
      <c r="C114" s="56" t="str">
        <f>VLOOKUP(A114,'Ratings worksheet'!$E$2:$H$159,4,FALSE)</f>
        <v>BB+</v>
      </c>
      <c r="D114" s="218" t="str">
        <f>IF(E114="NR",VLOOKUP(B114,'Sovereign Ratings (Moody''s,S&amp;P)'!$G$9:$H$34,2,FALSE),E114)</f>
        <v>Baa3</v>
      </c>
      <c r="E114" s="220" t="str">
        <f>VLOOKUP(A114,'Ratings worksheet'!$A$2:$C$159,3,FALSE)</f>
        <v>Baa3</v>
      </c>
    </row>
    <row r="115" spans="1:5">
      <c r="A115" s="46" t="str">
        <f>'Ratings worksheet'!A115</f>
        <v>Peru</v>
      </c>
      <c r="B115" s="56" t="str">
        <f>VLOOKUP(A115,'Ratings worksheet'!$A$2:$C$159,2,FALSE)</f>
        <v>BBB-</v>
      </c>
      <c r="C115" s="56" t="str">
        <f>VLOOKUP(A115,'Ratings worksheet'!$E$2:$H$159,4,FALSE)</f>
        <v>BBB</v>
      </c>
      <c r="D115" s="218" t="str">
        <f>IF(E115="NR",VLOOKUP(B115,'Sovereign Ratings (Moody''s,S&amp;P)'!$G$9:$H$34,2,FALSE),E115)</f>
        <v>Baa1</v>
      </c>
      <c r="E115" s="220" t="str">
        <f>VLOOKUP(A115,'Ratings worksheet'!$A$2:$C$159,3,FALSE)</f>
        <v>Baa1</v>
      </c>
    </row>
    <row r="116" spans="1:5">
      <c r="A116" s="46" t="str">
        <f>'Ratings worksheet'!A116</f>
        <v>Philippines</v>
      </c>
      <c r="B116" s="56" t="str">
        <f>VLOOKUP(A116,'Ratings worksheet'!$A$2:$C$159,2,FALSE)</f>
        <v>BBB+</v>
      </c>
      <c r="C116" s="56" t="str">
        <f>VLOOKUP(A116,'Ratings worksheet'!$E$2:$H$159,4,FALSE)</f>
        <v>BBB</v>
      </c>
      <c r="D116" s="218" t="str">
        <f>IF(E116="NR",VLOOKUP(B116,'Sovereign Ratings (Moody''s,S&amp;P)'!$G$9:$H$34,2,FALSE),E116)</f>
        <v>Baa2</v>
      </c>
      <c r="E116" s="220" t="str">
        <f>VLOOKUP(A116,'Ratings worksheet'!$A$2:$C$159,3,FALSE)</f>
        <v>Baa2</v>
      </c>
    </row>
    <row r="117" spans="1:5">
      <c r="A117" s="46" t="str">
        <f>'Ratings worksheet'!A117</f>
        <v>Poland</v>
      </c>
      <c r="B117" s="56" t="str">
        <f>VLOOKUP(A117,'Ratings worksheet'!$A$2:$C$159,2,FALSE)</f>
        <v>A-</v>
      </c>
      <c r="C117" s="56" t="str">
        <f>VLOOKUP(A117,'Ratings worksheet'!$E$2:$H$159,4,FALSE)</f>
        <v>A-</v>
      </c>
      <c r="D117" s="218" t="str">
        <f>IF(E117="NR",VLOOKUP(B117,'Sovereign Ratings (Moody''s,S&amp;P)'!$G$9:$H$34,2,FALSE),E117)</f>
        <v>A2</v>
      </c>
      <c r="E117" s="220" t="str">
        <f>VLOOKUP(A117,'Ratings worksheet'!$A$2:$C$159,3,FALSE)</f>
        <v>A2</v>
      </c>
    </row>
    <row r="118" spans="1:5">
      <c r="A118" s="46" t="str">
        <f>'Ratings worksheet'!A118</f>
        <v>Portugal</v>
      </c>
      <c r="B118" s="56" t="str">
        <f>VLOOKUP(A118,'Ratings worksheet'!$A$2:$C$159,2,FALSE)</f>
        <v>A+</v>
      </c>
      <c r="C118" s="56" t="str">
        <f>VLOOKUP(A118,'Ratings worksheet'!$E$2:$H$159,4,FALSE)</f>
        <v>A</v>
      </c>
      <c r="D118" s="218" t="str">
        <f>IF(E118="NR",VLOOKUP(B118,'Sovereign Ratings (Moody''s,S&amp;P)'!$G$9:$H$34,2,FALSE),E118)</f>
        <v>A3</v>
      </c>
      <c r="E118" s="220" t="str">
        <f>VLOOKUP(A118,'Ratings worksheet'!$A$2:$C$159,3,FALSE)</f>
        <v>A3</v>
      </c>
    </row>
    <row r="119" spans="1:5">
      <c r="A119" s="46" t="str">
        <f>'Ratings worksheet'!A119</f>
        <v>Qatar</v>
      </c>
      <c r="B119" s="56" t="str">
        <f>VLOOKUP(A119,'Ratings worksheet'!$A$2:$C$159,2,FALSE)</f>
        <v>AA</v>
      </c>
      <c r="C119" s="56" t="str">
        <f>VLOOKUP(A119,'Ratings worksheet'!$E$2:$H$159,4,FALSE)</f>
        <v>AA</v>
      </c>
      <c r="D119" s="218" t="str">
        <f>IF(E119="NR",VLOOKUP(B119,'Sovereign Ratings (Moody''s,S&amp;P)'!$G$9:$H$34,2,FALSE),E119)</f>
        <v>Aa2</v>
      </c>
      <c r="E119" s="220" t="str">
        <f>VLOOKUP(A119,'Ratings worksheet'!$A$2:$C$159,3,FALSE)</f>
        <v>Aa2</v>
      </c>
    </row>
    <row r="120" spans="1:5">
      <c r="A120" s="46" t="str">
        <f>'Ratings worksheet'!A120</f>
        <v>Ras Al Khaimah (Emirate of)</v>
      </c>
      <c r="B120" s="56" t="str">
        <f>VLOOKUP(A120,'Ratings worksheet'!$A$2:$C$159,2,FALSE)</f>
        <v>A-</v>
      </c>
      <c r="C120" s="56" t="e">
        <f>VLOOKUP(A120,'Ratings worksheet'!$E$2:$H$159,4,FALSE)</f>
        <v>#N/A</v>
      </c>
      <c r="D120" s="218" t="str">
        <f>IF(E120="NR",VLOOKUP(B120,'Sovereign Ratings (Moody''s,S&amp;P)'!$G$9:$H$34,2,FALSE),E120)</f>
        <v>A3</v>
      </c>
      <c r="E120" s="220" t="str">
        <f>VLOOKUP(A120,'Ratings worksheet'!$A$2:$C$159,3,FALSE)</f>
        <v>A3</v>
      </c>
    </row>
    <row r="121" spans="1:5">
      <c r="A121" s="46" t="str">
        <f>'Ratings worksheet'!A121</f>
        <v>Romania</v>
      </c>
      <c r="B121" s="56" t="str">
        <f>VLOOKUP(A121,'Ratings worksheet'!$A$2:$C$159,2,FALSE)</f>
        <v>BBB-</v>
      </c>
      <c r="C121" s="56" t="str">
        <f>VLOOKUP(A121,'Ratings worksheet'!$E$2:$H$159,4,FALSE)</f>
        <v>BBB-</v>
      </c>
      <c r="D121" s="218" t="str">
        <f>IF(E121="NR",VLOOKUP(B121,'Sovereign Ratings (Moody''s,S&amp;P)'!$G$9:$H$34,2,FALSE),E121)</f>
        <v>Baa3</v>
      </c>
      <c r="E121" s="220" t="str">
        <f>VLOOKUP(A121,'Ratings worksheet'!$A$2:$C$159,3,FALSE)</f>
        <v>Baa3</v>
      </c>
    </row>
    <row r="122" spans="1:5">
      <c r="A122" s="46" t="str">
        <f>'Ratings worksheet'!A123</f>
        <v>Rwanda</v>
      </c>
      <c r="B122" s="56" t="str">
        <f>VLOOKUP(A122,'Ratings worksheet'!$A$2:$C$159,2,FALSE)</f>
        <v>B+</v>
      </c>
      <c r="C122" s="56" t="str">
        <f>VLOOKUP(A122,'Ratings worksheet'!$E$2:$H$159,4,FALSE)</f>
        <v>B+</v>
      </c>
      <c r="D122" s="218" t="str">
        <f>IF(E122="NR",VLOOKUP(B122,'Sovereign Ratings (Moody''s,S&amp;P)'!$G$9:$H$34,2,FALSE),E122)</f>
        <v>B2</v>
      </c>
      <c r="E122" s="220" t="str">
        <f>VLOOKUP(A122,'Ratings worksheet'!$A$2:$C$159,3,FALSE)</f>
        <v>B2</v>
      </c>
    </row>
    <row r="123" spans="1:5">
      <c r="A123" s="46" t="str">
        <f>'Ratings worksheet'!A124</f>
        <v>Saudi Arabia</v>
      </c>
      <c r="B123" s="56" t="str">
        <f>VLOOKUP(A123,'Ratings worksheet'!$A$2:$C$159,2,FALSE)</f>
        <v>A+</v>
      </c>
      <c r="C123" s="56" t="str">
        <f>VLOOKUP(A123,'Ratings worksheet'!$E$2:$H$159,4,FALSE)</f>
        <v>A+</v>
      </c>
      <c r="D123" s="218" t="str">
        <f>IF(E123="NR",VLOOKUP(B123,'Sovereign Ratings (Moody''s,S&amp;P)'!$G$9:$H$34,2,FALSE),E123)</f>
        <v>Aa3</v>
      </c>
      <c r="E123" s="220" t="str">
        <f>VLOOKUP(A123,'Ratings worksheet'!$A$2:$C$159,3,FALSE)</f>
        <v>Aa3</v>
      </c>
    </row>
    <row r="124" spans="1:5">
      <c r="A124" s="46" t="str">
        <f>'Ratings worksheet'!A125</f>
        <v>Senegal</v>
      </c>
      <c r="B124" s="56" t="str">
        <f>VLOOKUP(A124,'Ratings worksheet'!$A$2:$C$159,2,FALSE)</f>
        <v>CCC+</v>
      </c>
      <c r="C124" s="56" t="str">
        <f>VLOOKUP(A124,'Ratings worksheet'!$E$2:$H$159,4,FALSE)</f>
        <v>NR</v>
      </c>
      <c r="D124" s="218" t="str">
        <f>IF(E124="NR",VLOOKUP(B124,'Sovereign Ratings (Moody''s,S&amp;P)'!$G$9:$H$34,2,FALSE),E124)</f>
        <v>Caa1</v>
      </c>
      <c r="E124" s="220" t="str">
        <f>VLOOKUP(A124,'Ratings worksheet'!$A$2:$C$159,3,FALSE)</f>
        <v>Caa1</v>
      </c>
    </row>
    <row r="125" spans="1:5">
      <c r="A125" s="46" t="str">
        <f>'Ratings worksheet'!A126</f>
        <v>Serbia</v>
      </c>
      <c r="B125" s="56" t="str">
        <f>VLOOKUP(A125,'Ratings worksheet'!$A$2:$C$159,2,FALSE)</f>
        <v>BBB-</v>
      </c>
      <c r="C125" s="56" t="str">
        <f>VLOOKUP(A125,'Ratings worksheet'!$E$2:$H$159,4,FALSE)</f>
        <v>BB+</v>
      </c>
      <c r="D125" s="218" t="str">
        <f>IF(E125="NR",VLOOKUP(B125,'Sovereign Ratings (Moody''s,S&amp;P)'!$G$9:$H$34,2,FALSE),E125)</f>
        <v>Ba2</v>
      </c>
      <c r="E125" s="220" t="str">
        <f>VLOOKUP(A125,'Ratings worksheet'!$A$2:$C$159,3,FALSE)</f>
        <v>Ba2</v>
      </c>
    </row>
    <row r="126" spans="1:5">
      <c r="A126" s="46" t="str">
        <f>'Ratings worksheet'!A127</f>
        <v>Sharjah</v>
      </c>
      <c r="B126" s="56" t="str">
        <f>VLOOKUP(A126,'Ratings worksheet'!$A$2:$C$159,2,FALSE)</f>
        <v>NR</v>
      </c>
      <c r="C126" s="56" t="e">
        <f>VLOOKUP(A126,'Ratings worksheet'!$E$2:$H$159,4,FALSE)</f>
        <v>#N/A</v>
      </c>
      <c r="D126" s="218" t="str">
        <f>IF(E126="NR",VLOOKUP(B126,'Sovereign Ratings (Moody''s,S&amp;P)'!$G$9:$H$34,2,FALSE),E126)</f>
        <v>Ba1</v>
      </c>
      <c r="E126" s="220" t="str">
        <f>VLOOKUP(A126,'Ratings worksheet'!$A$2:$C$159,3,FALSE)</f>
        <v>Ba1</v>
      </c>
    </row>
    <row r="127" spans="1:5">
      <c r="A127" s="46" t="str">
        <f>'Ratings worksheet'!A128</f>
        <v>Singapore</v>
      </c>
      <c r="B127" s="56" t="str">
        <f>VLOOKUP(A127,'Ratings worksheet'!$A$2:$C$159,2,FALSE)</f>
        <v>AAA</v>
      </c>
      <c r="C127" s="56" t="str">
        <f>VLOOKUP(A127,'Ratings worksheet'!$E$2:$H$159,4,FALSE)</f>
        <v>AAA</v>
      </c>
      <c r="D127" s="218" t="str">
        <f>IF(E127="NR",VLOOKUP(B127,'Sovereign Ratings (Moody''s,S&amp;P)'!$G$9:$H$34,2,FALSE),E127)</f>
        <v>Aaa</v>
      </c>
      <c r="E127" s="220" t="str">
        <f>VLOOKUP(A127,'Ratings worksheet'!$A$2:$C$159,3,FALSE)</f>
        <v>Aaa</v>
      </c>
    </row>
    <row r="128" spans="1:5">
      <c r="A128" s="46" t="str">
        <f>'Ratings worksheet'!A129</f>
        <v>Slovakia</v>
      </c>
      <c r="B128" s="56" t="str">
        <f>VLOOKUP(A128,'Ratings worksheet'!$A$2:$C$159,2,FALSE)</f>
        <v>A+</v>
      </c>
      <c r="C128" s="56" t="str">
        <f>VLOOKUP(A128,'Ratings worksheet'!$E$2:$H$159,4,FALSE)</f>
        <v>A-</v>
      </c>
      <c r="D128" s="218" t="str">
        <f>IF(E128="NR",VLOOKUP(B128,'Sovereign Ratings (Moody''s,S&amp;P)'!$G$9:$H$34,2,FALSE),E128)</f>
        <v>A3</v>
      </c>
      <c r="E128" s="220" t="str">
        <f>VLOOKUP(A128,'Ratings worksheet'!$A$2:$C$159,3,FALSE)</f>
        <v>A3</v>
      </c>
    </row>
    <row r="129" spans="1:5">
      <c r="A129" s="46" t="str">
        <f>'Ratings worksheet'!A130</f>
        <v>Slovenia</v>
      </c>
      <c r="B129" s="56" t="str">
        <f>VLOOKUP(A129,'Ratings worksheet'!$A$2:$C$159,2,FALSE)</f>
        <v>AA</v>
      </c>
      <c r="C129" s="56" t="str">
        <f>VLOOKUP(A129,'Ratings worksheet'!$E$2:$H$159,4,FALSE)</f>
        <v>A+</v>
      </c>
      <c r="D129" s="218" t="str">
        <f>IF(E129="NR",VLOOKUP(B129,'Sovereign Ratings (Moody''s,S&amp;P)'!$G$9:$H$34,2,FALSE),E129)</f>
        <v>A2</v>
      </c>
      <c r="E129" s="220" t="str">
        <f>VLOOKUP(A129,'Ratings worksheet'!$A$2:$C$159,3,FALSE)</f>
        <v>A2</v>
      </c>
    </row>
    <row r="130" spans="1:5">
      <c r="A130" s="46" t="str">
        <f>'Ratings worksheet'!A131</f>
        <v>Solomon Islands</v>
      </c>
      <c r="B130" s="56">
        <f>VLOOKUP(A130,'Ratings worksheet'!$A$2:$C$159,2,FALSE)</f>
        <v>0</v>
      </c>
      <c r="C130" s="56" t="str">
        <f>VLOOKUP(A130,'Ratings worksheet'!$E$2:$H$159,4,FALSE)</f>
        <v>NR</v>
      </c>
      <c r="D130" s="218" t="str">
        <f>IF(E130="NR",VLOOKUP(B130,'Sovereign Ratings (Moody''s,S&amp;P)'!$G$9:$H$34,2,FALSE),E130)</f>
        <v>Caa1</v>
      </c>
      <c r="E130" s="220" t="str">
        <f>VLOOKUP(A130,'Ratings worksheet'!$A$2:$C$159,3,FALSE)</f>
        <v>Caa1</v>
      </c>
    </row>
    <row r="131" spans="1:5">
      <c r="A131" s="46" t="str">
        <f>'Ratings worksheet'!A132</f>
        <v>South Africa</v>
      </c>
      <c r="B131" s="56" t="str">
        <f>VLOOKUP(A131,'Ratings worksheet'!$A$2:$C$159,2,FALSE)</f>
        <v>BB</v>
      </c>
      <c r="C131" s="56" t="str">
        <f>VLOOKUP(A131,'Ratings worksheet'!$E$2:$H$159,4,FALSE)</f>
        <v>BB-</v>
      </c>
      <c r="D131" s="218" t="str">
        <f>IF(E131="NR",VLOOKUP(B131,'Sovereign Ratings (Moody''s,S&amp;P)'!$G$9:$H$34,2,FALSE),E131)</f>
        <v>Ba2</v>
      </c>
      <c r="E131" s="220" t="str">
        <f>VLOOKUP(A131,'Ratings worksheet'!$A$2:$C$159,3,FALSE)</f>
        <v>Ba2</v>
      </c>
    </row>
    <row r="132" spans="1:5">
      <c r="A132" s="46" t="str">
        <f>'Ratings worksheet'!A133</f>
        <v>Spain</v>
      </c>
      <c r="B132" s="56" t="str">
        <f>VLOOKUP(A132,'Ratings worksheet'!$A$2:$C$159,2,FALSE)</f>
        <v>A+</v>
      </c>
      <c r="C132" s="56" t="str">
        <f>VLOOKUP(A132,'Ratings worksheet'!$E$2:$H$159,4,FALSE)</f>
        <v>A</v>
      </c>
      <c r="D132" s="218" t="str">
        <f>IF(E132="NR",VLOOKUP(B132,'Sovereign Ratings (Moody''s,S&amp;P)'!$G$9:$H$34,2,FALSE),E132)</f>
        <v>A3</v>
      </c>
      <c r="E132" s="220" t="str">
        <f>VLOOKUP(A132,'Ratings worksheet'!$A$2:$C$159,3,FALSE)</f>
        <v>A3</v>
      </c>
    </row>
    <row r="133" spans="1:5">
      <c r="A133" s="46" t="str">
        <f>'Ratings worksheet'!A134</f>
        <v>Sri Lanka</v>
      </c>
      <c r="B133" s="56" t="str">
        <f>VLOOKUP(A133,'Ratings worksheet'!$A$2:$C$159,2,FALSE)</f>
        <v>CCC+</v>
      </c>
      <c r="C133" s="56" t="str">
        <f>VLOOKUP(A133,'Ratings worksheet'!$E$2:$H$159,4,FALSE)</f>
        <v>CCC+</v>
      </c>
      <c r="D133" s="218" t="str">
        <f>IF(E133="NR",VLOOKUP(B133,'Sovereign Ratings (Moody''s,S&amp;P)'!$G$9:$H$34,2,FALSE),E133)</f>
        <v>Ca</v>
      </c>
      <c r="E133" s="220" t="str">
        <f>VLOOKUP(A133,'Ratings worksheet'!$A$2:$C$159,3,FALSE)</f>
        <v>Ca</v>
      </c>
    </row>
    <row r="134" spans="1:5">
      <c r="A134" s="46" t="str">
        <f>'Ratings worksheet'!A135</f>
        <v>St. Maarten</v>
      </c>
      <c r="B134" s="56" t="str">
        <f>VLOOKUP(A134,'Ratings worksheet'!$A$2:$C$159,2,FALSE)</f>
        <v>NA</v>
      </c>
      <c r="C134" s="56" t="e">
        <f>VLOOKUP(A134,'Ratings worksheet'!$E$2:$H$159,4,FALSE)</f>
        <v>#N/A</v>
      </c>
      <c r="D134" s="218" t="str">
        <f>IF(E134="NR",VLOOKUP(B134,'Sovereign Ratings (Moody''s,S&amp;P)'!$G$9:$H$34,2,FALSE),E134)</f>
        <v>Ba2</v>
      </c>
      <c r="E134" s="220" t="str">
        <f>VLOOKUP(A134,'Ratings worksheet'!$A$2:$C$159,3,FALSE)</f>
        <v>Ba2</v>
      </c>
    </row>
    <row r="135" spans="1:5">
      <c r="A135" s="46" t="str">
        <f>'Ratings worksheet'!A136</f>
        <v>St. Vincent &amp; the Grenadines</v>
      </c>
      <c r="B135" s="56" t="str">
        <f>VLOOKUP(A135,'Ratings worksheet'!$A$2:$C$159,2,FALSE)</f>
        <v>NR</v>
      </c>
      <c r="C135" s="56" t="e">
        <f>VLOOKUP(A135,'Ratings worksheet'!$E$2:$H$159,4,FALSE)</f>
        <v>#N/A</v>
      </c>
      <c r="D135" s="218" t="str">
        <f>IF(E135="NR",VLOOKUP(B135,'Sovereign Ratings (Moody''s,S&amp;P)'!$G$9:$H$34,2,FALSE),E135)</f>
        <v>B3</v>
      </c>
      <c r="E135" s="220" t="str">
        <f>VLOOKUP(A135,'Ratings worksheet'!$A$2:$C$159,3,FALSE)</f>
        <v>B3</v>
      </c>
    </row>
    <row r="136" spans="1:5">
      <c r="A136" s="46" t="str">
        <f>'Ratings worksheet'!A137</f>
        <v>Suriname</v>
      </c>
      <c r="B136" s="56" t="str">
        <f>VLOOKUP(A136,'Ratings worksheet'!$A$2:$C$159,2,FALSE)</f>
        <v>CCC+</v>
      </c>
      <c r="C136" s="56" t="str">
        <f>VLOOKUP(A136,'Ratings worksheet'!$E$2:$H$159,4,FALSE)</f>
        <v>C</v>
      </c>
      <c r="D136" s="218" t="str">
        <f>IF(E136="NR",VLOOKUP(B136,'Sovereign Ratings (Moody''s,S&amp;P)'!$G$9:$H$34,2,FALSE),E136)</f>
        <v>Caa1</v>
      </c>
      <c r="E136" s="220" t="str">
        <f>VLOOKUP(A136,'Ratings worksheet'!$A$2:$C$159,3,FALSE)</f>
        <v>Caa1</v>
      </c>
    </row>
    <row r="137" spans="1:5">
      <c r="A137" s="46" t="str">
        <f>'Ratings worksheet'!A138</f>
        <v>Swaziland</v>
      </c>
      <c r="B137" s="56" t="e">
        <f>VLOOKUP(A137,'Ratings worksheet'!$A$2:$C$159,2,FALSE)</f>
        <v>#N/A</v>
      </c>
      <c r="C137" s="56" t="e">
        <f>VLOOKUP(A137,'Ratings worksheet'!$E$2:$H$159,4,FALSE)</f>
        <v>#N/A</v>
      </c>
      <c r="D137" s="218" t="str">
        <f>IF(E137="NR",VLOOKUP(B137,'Sovereign Ratings (Moody''s,S&amp;P)'!$G$9:$H$34,2,FALSE),E137)</f>
        <v>B2</v>
      </c>
      <c r="E137" s="220" t="str">
        <f>VLOOKUP(A137,'Ratings worksheet'!$A$2:$C$159,3,FALSE)</f>
        <v>B2</v>
      </c>
    </row>
    <row r="138" spans="1:5">
      <c r="A138" s="46" t="str">
        <f>'Ratings worksheet'!A139</f>
        <v>Sweden</v>
      </c>
      <c r="B138" s="56" t="str">
        <f>VLOOKUP(A138,'Ratings worksheet'!$A$2:$C$159,2,FALSE)</f>
        <v>AAA</v>
      </c>
      <c r="C138" s="56" t="str">
        <f>VLOOKUP(A138,'Ratings worksheet'!$E$2:$H$159,4,FALSE)</f>
        <v>AAA</v>
      </c>
      <c r="D138" s="218" t="str">
        <f>IF(E138="NR",VLOOKUP(B138,'Sovereign Ratings (Moody''s,S&amp;P)'!$G$9:$H$34,2,FALSE),E138)</f>
        <v>Aaa</v>
      </c>
      <c r="E138" s="220" t="str">
        <f>VLOOKUP(A138,'Ratings worksheet'!$A$2:$C$159,3,FALSE)</f>
        <v>Aaa</v>
      </c>
    </row>
    <row r="139" spans="1:5">
      <c r="A139" s="46" t="str">
        <f>'Ratings worksheet'!A140</f>
        <v>Switzerland</v>
      </c>
      <c r="B139" s="56" t="str">
        <f>VLOOKUP(A139,'Ratings worksheet'!$A$2:$C$159,2,FALSE)</f>
        <v>AAA</v>
      </c>
      <c r="C139" s="56" t="str">
        <f>VLOOKUP(A139,'Ratings worksheet'!$E$2:$H$159,4,FALSE)</f>
        <v>AAA</v>
      </c>
      <c r="D139" s="218" t="str">
        <f>IF(E139="NR",VLOOKUP(B139,'Sovereign Ratings (Moody''s,S&amp;P)'!$G$9:$H$34,2,FALSE),E139)</f>
        <v>Aaa</v>
      </c>
      <c r="E139" s="220" t="str">
        <f>VLOOKUP(A139,'Ratings worksheet'!$A$2:$C$159,3,FALSE)</f>
        <v>Aaa</v>
      </c>
    </row>
    <row r="140" spans="1:5">
      <c r="A140" s="46" t="str">
        <f>'Ratings worksheet'!A141</f>
        <v>Taiwan</v>
      </c>
      <c r="B140" s="56" t="str">
        <f>VLOOKUP(A140,'Ratings worksheet'!$A$2:$C$159,2,FALSE)</f>
        <v>AA+</v>
      </c>
      <c r="C140" s="56" t="str">
        <f>VLOOKUP(A140,'Ratings worksheet'!$E$2:$H$159,4,FALSE)</f>
        <v>AA</v>
      </c>
      <c r="D140" s="218" t="str">
        <f>IF(E140="NR",VLOOKUP(B140,'Sovereign Ratings (Moody''s,S&amp;P)'!$G$9:$H$34,2,FALSE),E140)</f>
        <v>Aa3</v>
      </c>
      <c r="E140" s="220" t="str">
        <f>VLOOKUP(A140,'Ratings worksheet'!$A$2:$C$159,3,FALSE)</f>
        <v>Aa3</v>
      </c>
    </row>
    <row r="141" spans="1:5">
      <c r="A141" s="46" t="str">
        <f>'Ratings worksheet'!A142</f>
        <v>Tajikistan</v>
      </c>
      <c r="B141" s="56" t="str">
        <f>VLOOKUP(A141,'Ratings worksheet'!$A$2:$C$159,2,FALSE)</f>
        <v>B</v>
      </c>
      <c r="C141" s="56" t="str">
        <f>VLOOKUP(A141,'Ratings worksheet'!$E$2:$H$159,4,FALSE)</f>
        <v>NR</v>
      </c>
      <c r="D141" s="218" t="str">
        <f>IF(E141="NR",VLOOKUP(B141,'Sovereign Ratings (Moody''s,S&amp;P)'!$G$9:$H$34,2,FALSE),E141)</f>
        <v>B2</v>
      </c>
      <c r="E141" s="220" t="str">
        <f>VLOOKUP(A141,'Ratings worksheet'!$A$2:$C$159,3,FALSE)</f>
        <v>B2</v>
      </c>
    </row>
    <row r="142" spans="1:5">
      <c r="A142" s="46" t="str">
        <f>'Ratings worksheet'!A143</f>
        <v>Tanzania</v>
      </c>
      <c r="B142" s="56" t="str">
        <f>VLOOKUP(A142,'Ratings worksheet'!$A$2:$C$159,2,FALSE)</f>
        <v>NR</v>
      </c>
      <c r="C142" s="56" t="str">
        <f>VLOOKUP(A142,'Ratings worksheet'!$E$2:$H$159,4,FALSE)</f>
        <v>B+</v>
      </c>
      <c r="D142" s="218" t="str">
        <f>IF(E142="NR",VLOOKUP(B142,'Sovereign Ratings (Moody''s,S&amp;P)'!$G$9:$H$34,2,FALSE),E142)</f>
        <v>B1</v>
      </c>
      <c r="E142" s="220" t="str">
        <f>VLOOKUP(A142,'Ratings worksheet'!$A$2:$C$159,3,FALSE)</f>
        <v>B1</v>
      </c>
    </row>
    <row r="143" spans="1:5">
      <c r="A143" s="46" t="str">
        <f>'Ratings worksheet'!A144</f>
        <v>Thailand</v>
      </c>
      <c r="B143" s="56" t="str">
        <f>VLOOKUP(A143,'Ratings worksheet'!$A$2:$C$159,2,FALSE)</f>
        <v>BBB+</v>
      </c>
      <c r="C143" s="56" t="str">
        <f>VLOOKUP(A143,'Ratings worksheet'!$E$2:$H$159,4,FALSE)</f>
        <v>BBB+</v>
      </c>
      <c r="D143" s="218" t="str">
        <f>IF(E143="NR",VLOOKUP(B143,'Sovereign Ratings (Moody''s,S&amp;P)'!$G$9:$H$34,2,FALSE),E143)</f>
        <v>Baa1</v>
      </c>
      <c r="E143" s="220" t="str">
        <f>VLOOKUP(A143,'Ratings worksheet'!$A$2:$C$159,3,FALSE)</f>
        <v>Baa1</v>
      </c>
    </row>
    <row r="144" spans="1:5">
      <c r="A144" s="46" t="str">
        <f>'Ratings worksheet'!A145</f>
        <v>Togo</v>
      </c>
      <c r="B144" s="56" t="str">
        <f>VLOOKUP(A144,'Ratings worksheet'!$A$2:$C$159,2,FALSE)</f>
        <v>B+</v>
      </c>
      <c r="C144" s="56" t="str">
        <f>VLOOKUP(A144,'Ratings worksheet'!$E$2:$H$159,4,FALSE)</f>
        <v>NR</v>
      </c>
      <c r="D144" s="218" t="str">
        <f>IF(E144="NR",VLOOKUP(B144,'Sovereign Ratings (Moody''s,S&amp;P)'!$G$9:$H$34,2,FALSE),E144)</f>
        <v>B3</v>
      </c>
      <c r="E144" s="220" t="str">
        <f>VLOOKUP(A144,'Ratings worksheet'!$A$2:$C$159,3,FALSE)</f>
        <v>B3</v>
      </c>
    </row>
    <row r="145" spans="1:11">
      <c r="A145" s="46" t="str">
        <f>'Ratings worksheet'!A146</f>
        <v>Trinidad and Tobago</v>
      </c>
      <c r="B145" s="56" t="str">
        <f>VLOOKUP(A145,'Ratings worksheet'!$A$2:$C$159,2,FALSE)</f>
        <v>BBB-</v>
      </c>
      <c r="C145" s="56" t="str">
        <f>VLOOKUP(A145,'Ratings worksheet'!$E$2:$H$159,4,FALSE)</f>
        <v>NR</v>
      </c>
      <c r="D145" s="218" t="str">
        <f>IF(E145="NR",VLOOKUP(B145,'Sovereign Ratings (Moody''s,S&amp;P)'!$G$9:$H$34,2,FALSE),E145)</f>
        <v>Ba2</v>
      </c>
      <c r="E145" s="220" t="str">
        <f>VLOOKUP(A145,'Ratings worksheet'!$A$2:$C$159,3,FALSE)</f>
        <v>Ba2</v>
      </c>
    </row>
    <row r="146" spans="1:11">
      <c r="A146" s="46" t="str">
        <f>'Ratings worksheet'!A147</f>
        <v>Tunisia</v>
      </c>
      <c r="B146" s="56" t="str">
        <f>VLOOKUP(A146,'Ratings worksheet'!$A$2:$C$159,2,FALSE)</f>
        <v>N/A</v>
      </c>
      <c r="C146" s="56" t="str">
        <f>VLOOKUP(A146,'Ratings worksheet'!$E$2:$H$159,4,FALSE)</f>
        <v>B-</v>
      </c>
      <c r="D146" s="218" t="str">
        <f>IF(E146="NR",VLOOKUP(B146,'Sovereign Ratings (Moody''s,S&amp;P)'!$G$9:$H$34,2,FALSE),E146)</f>
        <v>Caa1</v>
      </c>
      <c r="E146" s="220" t="str">
        <f>VLOOKUP(A146,'Ratings worksheet'!$A$2:$C$159,3,FALSE)</f>
        <v>Caa1</v>
      </c>
      <c r="K146" s="219"/>
    </row>
    <row r="147" spans="1:11">
      <c r="A147" s="46" t="str">
        <f>'Ratings worksheet'!A148</f>
        <v>Turkey</v>
      </c>
      <c r="B147" s="56" t="str">
        <f>VLOOKUP(A147,'Ratings worksheet'!$A$2:$C$159,2,FALSE)</f>
        <v>BB-</v>
      </c>
      <c r="C147" s="56" t="str">
        <f>VLOOKUP(A147,'Ratings worksheet'!$E$2:$H$159,4,FALSE)</f>
        <v>BB-</v>
      </c>
      <c r="D147" s="218" t="str">
        <f>IF(E147="NR",VLOOKUP(B147,'Sovereign Ratings (Moody''s,S&amp;P)'!$G$9:$H$34,2,FALSE),E147)</f>
        <v>Ba3</v>
      </c>
      <c r="E147" s="220" t="str">
        <f>VLOOKUP(A147,'Ratings worksheet'!$A$2:$C$159,3,FALSE)</f>
        <v>Ba3</v>
      </c>
    </row>
    <row r="148" spans="1:11">
      <c r="A148" s="46" t="str">
        <f>'Ratings worksheet'!A149</f>
        <v>Turks and Caicos Islands</v>
      </c>
      <c r="B148" s="56" t="str">
        <f>VLOOKUP(A148,'Ratings worksheet'!$A$2:$C$159,2,FALSE)</f>
        <v>BBB+</v>
      </c>
      <c r="C148" s="56" t="str">
        <f>VLOOKUP(A148,'Ratings worksheet'!$E$2:$H$159,4,FALSE)</f>
        <v>BBB+</v>
      </c>
      <c r="D148" s="218" t="str">
        <f>IF(E148="NR",VLOOKUP(B148,'Sovereign Ratings (Moody''s,S&amp;P)'!$G$9:$H$34,2,FALSE),E148)</f>
        <v>Baa1</v>
      </c>
      <c r="E148" s="220" t="str">
        <f>VLOOKUP(A148,'Ratings worksheet'!$A$2:$C$159,3,FALSE)</f>
        <v>Baa1</v>
      </c>
    </row>
    <row r="149" spans="1:11">
      <c r="A149" s="46" t="str">
        <f>'Ratings worksheet'!A150</f>
        <v>Uganda</v>
      </c>
      <c r="B149" s="56" t="str">
        <f>VLOOKUP(A149,'Ratings worksheet'!$A$2:$C$159,2,FALSE)</f>
        <v>B-</v>
      </c>
      <c r="C149" s="56" t="str">
        <f>VLOOKUP(A149,'Ratings worksheet'!$E$2:$H$159,4,FALSE)</f>
        <v>B</v>
      </c>
      <c r="D149" s="218" t="str">
        <f>IF(E149="NR",VLOOKUP(B149,'Sovereign Ratings (Moody''s,S&amp;P)'!$G$9:$H$34,2,FALSE),E149)</f>
        <v>B3</v>
      </c>
      <c r="E149" s="220" t="str">
        <f>VLOOKUP(A149,'Ratings worksheet'!$A$2:$C$159,3,FALSE)</f>
        <v>B3</v>
      </c>
    </row>
    <row r="150" spans="1:11">
      <c r="A150" s="46" t="str">
        <f>'Ratings worksheet'!A151</f>
        <v>Ukraine</v>
      </c>
      <c r="B150" s="56" t="str">
        <f>VLOOKUP(A150,'Ratings worksheet'!$A$2:$C$159,2,FALSE)</f>
        <v>CCC+</v>
      </c>
      <c r="C150" s="56" t="str">
        <f>VLOOKUP(A150,'Ratings worksheet'!$E$2:$H$159,4,FALSE)</f>
        <v>CCC</v>
      </c>
      <c r="D150" s="218" t="str">
        <f>IF(E150="NR",VLOOKUP(B150,'Sovereign Ratings (Moody''s,S&amp;P)'!$G$9:$H$34,2,FALSE),E150)</f>
        <v>Ca</v>
      </c>
      <c r="E150" s="220" t="str">
        <f>VLOOKUP(A150,'Ratings worksheet'!$A$2:$C$159,3,FALSE)</f>
        <v>Ca</v>
      </c>
    </row>
    <row r="151" spans="1:11">
      <c r="A151" s="46" t="str">
        <f>'Ratings worksheet'!A152</f>
        <v>United Arab Emirates</v>
      </c>
      <c r="B151" s="56" t="str">
        <f>VLOOKUP(A151,'Ratings worksheet'!$A$2:$C$159,2,FALSE)</f>
        <v>AA</v>
      </c>
      <c r="C151" s="56" t="str">
        <f>VLOOKUP(A151,'Ratings worksheet'!$E$2:$H$159,4,FALSE)</f>
        <v>AA-</v>
      </c>
      <c r="D151" s="218" t="str">
        <f>IF(E151="NR",VLOOKUP(B151,'Sovereign Ratings (Moody''s,S&amp;P)'!$G$9:$H$34,2,FALSE),E151)</f>
        <v>Aa2</v>
      </c>
      <c r="E151" s="220" t="str">
        <f>VLOOKUP(A151,'Ratings worksheet'!$A$2:$C$159,3,FALSE)</f>
        <v>Aa2</v>
      </c>
    </row>
    <row r="152" spans="1:11">
      <c r="A152" s="46" t="str">
        <f>'Ratings worksheet'!A153</f>
        <v>United Kingdom</v>
      </c>
      <c r="B152" s="56" t="str">
        <f>VLOOKUP(A152,'Ratings worksheet'!$A$2:$C$159,2,FALSE)</f>
        <v>AA</v>
      </c>
      <c r="C152" s="56" t="str">
        <f>VLOOKUP(A152,'Ratings worksheet'!$E$2:$H$159,4,FALSE)</f>
        <v>AA-</v>
      </c>
      <c r="D152" s="218" t="str">
        <f>IF(E152="NR",VLOOKUP(B152,'Sovereign Ratings (Moody''s,S&amp;P)'!$G$9:$H$34,2,FALSE),E152)</f>
        <v>Aa3</v>
      </c>
      <c r="E152" s="220" t="str">
        <f>VLOOKUP(A152,'Ratings worksheet'!$A$2:$C$159,3,FALSE)</f>
        <v>Aa3</v>
      </c>
    </row>
    <row r="153" spans="1:11">
      <c r="A153" s="46" t="str">
        <f>'Ratings worksheet'!A154</f>
        <v>United States</v>
      </c>
      <c r="B153" s="56" t="str">
        <f>VLOOKUP(A153,'Ratings worksheet'!$A$2:$C$159,2,FALSE)</f>
        <v>AA+</v>
      </c>
      <c r="C153" s="56" t="str">
        <f>VLOOKUP(A153,'Ratings worksheet'!$E$2:$H$159,4,FALSE)</f>
        <v>AA+</v>
      </c>
      <c r="D153" s="218" t="str">
        <f>IF(E153="NR",VLOOKUP(B153,'Sovereign Ratings (Moody''s,S&amp;P)'!$G$9:$H$34,2,FALSE),E153)</f>
        <v>Aa1</v>
      </c>
      <c r="E153" s="220" t="str">
        <f>VLOOKUP(A153,'Ratings worksheet'!$A$2:$C$159,3,FALSE)</f>
        <v>Aa1</v>
      </c>
    </row>
    <row r="154" spans="1:11">
      <c r="A154" s="46" t="str">
        <f>'Ratings worksheet'!A155</f>
        <v>Uruguay</v>
      </c>
      <c r="B154" s="56" t="str">
        <f>VLOOKUP(A154,'Ratings worksheet'!$A$2:$C$159,2,FALSE)</f>
        <v>BBB+</v>
      </c>
      <c r="C154" s="56" t="str">
        <f>VLOOKUP(A154,'Ratings worksheet'!$E$2:$H$159,4,FALSE)</f>
        <v>BBB</v>
      </c>
      <c r="D154" s="218" t="str">
        <f>IF(E154="NR",VLOOKUP(B154,'Sovereign Ratings (Moody''s,S&amp;P)'!$G$9:$H$34,2,FALSE),E154)</f>
        <v>Baa1</v>
      </c>
      <c r="E154" s="220" t="str">
        <f>VLOOKUP(A154,'Ratings worksheet'!$A$2:$C$159,3,FALSE)</f>
        <v>Baa1</v>
      </c>
    </row>
    <row r="155" spans="1:11">
      <c r="A155" s="46" t="str">
        <f>'Ratings worksheet'!A156</f>
        <v>Uzbekistan</v>
      </c>
      <c r="B155" s="56" t="str">
        <f>VLOOKUP(A155,'Ratings worksheet'!$A$2:$C$159,2,FALSE)</f>
        <v>BB</v>
      </c>
      <c r="C155" s="56" t="str">
        <f>VLOOKUP(A155,'Ratings worksheet'!$E$2:$H$159,4,FALSE)</f>
        <v>BB</v>
      </c>
      <c r="D155" s="218" t="str">
        <f>IF(E155="NR",VLOOKUP(B155,'Sovereign Ratings (Moody''s,S&amp;P)'!$G$9:$H$34,2,FALSE),E155)</f>
        <v>Ba3</v>
      </c>
      <c r="E155" s="220" t="str">
        <f>VLOOKUP(A155,'Ratings worksheet'!$A$2:$C$159,3,FALSE)</f>
        <v>Ba3</v>
      </c>
    </row>
    <row r="156" spans="1:11">
      <c r="A156" s="46" t="str">
        <f>'Ratings worksheet'!A157</f>
        <v>Venezuela</v>
      </c>
      <c r="B156" s="56" t="str">
        <f>VLOOKUP(A156,'Ratings worksheet'!$A$2:$C$159,2,FALSE)</f>
        <v>N/A</v>
      </c>
      <c r="C156" s="56" t="str">
        <f>VLOOKUP(A156,'Ratings worksheet'!$E$2:$H$159,4,FALSE)</f>
        <v>NR</v>
      </c>
      <c r="D156" s="218" t="str">
        <f>IF(E156="NR",VLOOKUP(B156,'Sovereign Ratings (Moody''s,S&amp;P)'!$G$9:$H$34,2,FALSE),E156)</f>
        <v>C</v>
      </c>
      <c r="E156" s="220" t="str">
        <f>VLOOKUP(A156,'Ratings worksheet'!$A$2:$C$159,3,FALSE)</f>
        <v>C</v>
      </c>
    </row>
    <row r="157" spans="1:11">
      <c r="A157" s="46" t="str">
        <f>'Ratings worksheet'!A158</f>
        <v>Vietnam</v>
      </c>
      <c r="B157" s="56" t="str">
        <f>VLOOKUP(A157,'Ratings worksheet'!$A$2:$C$159,2,FALSE)</f>
        <v>BB+</v>
      </c>
      <c r="C157" s="56" t="str">
        <f>VLOOKUP(A157,'Ratings worksheet'!$E$2:$H$159,4,FALSE)</f>
        <v>BB+</v>
      </c>
      <c r="D157" s="218" t="str">
        <f>IF(E157="NR",VLOOKUP(B157,'Sovereign Ratings (Moody''s,S&amp;P)'!$G$9:$H$34,2,FALSE),E157)</f>
        <v>Ba2</v>
      </c>
      <c r="E157" s="220" t="str">
        <f>VLOOKUP(A157,'Ratings worksheet'!$A$2:$C$159,3,FALSE)</f>
        <v>Ba2</v>
      </c>
    </row>
    <row r="158" spans="1:11">
      <c r="A158" s="46" t="str">
        <f>'Ratings worksheet'!A159</f>
        <v>Zambia</v>
      </c>
      <c r="B158" s="56" t="str">
        <f>VLOOKUP(A158,'Ratings worksheet'!$A$2:$C$159,2,FALSE)</f>
        <v>CCC+</v>
      </c>
      <c r="C158" s="56" t="str">
        <f>VLOOKUP(A158,'Ratings worksheet'!$E$2:$H$159,4,FALSE)</f>
        <v>B-</v>
      </c>
      <c r="D158" s="218" t="str">
        <f>IF(E158="NR",VLOOKUP(B158,'Sovereign Ratings (Moody''s,S&amp;P)'!$G$9:$H$34,2,FALSE),E158)</f>
        <v>Caa2</v>
      </c>
      <c r="E158" s="220" t="str">
        <f>VLOOKUP(A158,'Ratings worksheet'!$A$2:$C$159,3,FALSE)</f>
        <v>Caa2</v>
      </c>
    </row>
  </sheetData>
  <mergeCells count="4">
    <mergeCell ref="G2:P2"/>
    <mergeCell ref="G3:P3"/>
    <mergeCell ref="G4:P4"/>
    <mergeCell ref="G5:P5"/>
  </mergeCells>
  <phoneticPr fontId="11"/>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Explanation and FAQ</vt:lpstr>
      <vt:lpstr>Summary of Most Recent Update</vt:lpstr>
      <vt:lpstr>Country Lookup</vt:lpstr>
      <vt:lpstr>ERPs by country</vt:lpstr>
      <vt:lpstr>Relative Equity Volatility</vt:lpstr>
      <vt:lpstr>Regional Simple Averages</vt:lpstr>
      <vt:lpstr>Regional Weighted Averages</vt:lpstr>
      <vt:lpstr>Regional breakdown</vt:lpstr>
      <vt:lpstr>Sovereign Ratings (Moody's,S&amp;P)</vt:lpstr>
      <vt:lpstr>Regional lookup table</vt:lpstr>
      <vt:lpstr>Default Spreads for Ratings</vt:lpstr>
      <vt:lpstr>10-year CDS Spreads</vt:lpstr>
      <vt:lpstr>Country GDP</vt:lpstr>
      <vt:lpstr>Ratings worksheet</vt:lpstr>
      <vt:lpstr>Country Tax Rates</vt:lpstr>
      <vt:lpstr>PRS Worksheet</vt:lpstr>
      <vt:lpstr>Data Update Sequence</vt:lpstr>
      <vt:lpstr>'Regional Weighted Averages'!Print_Area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Aswath Damodaran</cp:lastModifiedBy>
  <cp:lastPrinted>2025-01-08T14:21:15Z</cp:lastPrinted>
  <dcterms:created xsi:type="dcterms:W3CDTF">1999-02-15T17:37:17Z</dcterms:created>
  <dcterms:modified xsi:type="dcterms:W3CDTF">2026-04-01T19:44:59Z</dcterms:modified>
</cp:coreProperties>
</file>