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ate1904="1" autoCompressPictures="0"/>
  <mc:AlternateContent xmlns:mc="http://schemas.openxmlformats.org/markup-compatibility/2006">
    <mc:Choice Requires="x15">
      <x15ac:absPath xmlns:x15ac="http://schemas.microsoft.com/office/spreadsheetml/2010/11/ac" url="/Users/Shared/Previously Relocated Items/Security/All My Stuff/Home Page 2002/pc/blog/"/>
    </mc:Choice>
  </mc:AlternateContent>
  <xr:revisionPtr revIDLastSave="0" documentId="13_ncr:1_{FB071E56-A1BF-C04B-8E6C-81FC5F670D56}" xr6:coauthVersionLast="47" xr6:coauthVersionMax="47" xr10:uidLastSave="{00000000-0000-0000-0000-000000000000}"/>
  <bookViews>
    <workbookView xWindow="0" yWindow="760" windowWidth="30240" windowHeight="18880" xr2:uid="{00000000-000D-0000-FFFF-FFFF00000000}"/>
  </bookViews>
  <sheets>
    <sheet name="S&amp;P 500 Valuation" sheetId="1" r:id="rId1"/>
    <sheet name="Earnings and Growth" sheetId="3" r:id="rId2"/>
    <sheet name="Buyback &amp; Dividend computation" sheetId="2" r:id="rId3"/>
    <sheet name="Implied ERP- Annual since 1960" sheetId="5" r:id="rId4"/>
    <sheet name="Historical ERP" sheetId="6" r:id="rId5"/>
    <sheet name="Input Choices" sheetId="9" r:id="rId6"/>
    <sheet name="Sheet11" sheetId="11" r:id="rId7"/>
    <sheet name="Sheet12" sheetId="12" r:id="rId8"/>
    <sheet name="Sheet13" sheetId="13" r:id="rId9"/>
    <sheet name="Sheet14" sheetId="14" r:id="rId10"/>
    <sheet name="Sheet15" sheetId="15" r:id="rId11"/>
    <sheet name="Sheet16" sheetId="16" r:id="rId12"/>
  </sheets>
  <definedNames>
    <definedName name="solver_adj" localSheetId="0" hidden="1">'S&amp;P 500 Valuation'!#REF!</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100</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'S&amp;P 500 Valuation'!$B$33</definedName>
    <definedName name="solver_pre" localSheetId="0" hidden="1">0.000001</definedName>
    <definedName name="solver_rbv" localSheetId="0" hidden="1">1</definedName>
    <definedName name="solver_rlx" localSheetId="0" hidden="1">1</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100</definedName>
    <definedName name="solver_tol" localSheetId="0" hidden="1">0.05</definedName>
    <definedName name="solver_typ" localSheetId="0" hidden="1">3</definedName>
    <definedName name="solver_val" localSheetId="0" hidden="1">1606.28</definedName>
    <definedName name="solver_ver" localSheetId="0"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 l="1"/>
  <c r="B25" i="1"/>
  <c r="G10" i="1"/>
  <c r="G6" i="1"/>
  <c r="G9" i="1"/>
  <c r="G8" i="1"/>
  <c r="G11" i="1"/>
  <c r="F53" i="2" l="1"/>
  <c r="F52" i="2" s="1"/>
  <c r="F45" i="2" s="1"/>
  <c r="E53" i="2"/>
  <c r="D53" i="2"/>
  <c r="C53" i="2"/>
  <c r="D81" i="2"/>
  <c r="E52" i="2" s="1"/>
  <c r="J52" i="2" s="1"/>
  <c r="C81" i="2"/>
  <c r="D52" i="2" s="1"/>
  <c r="B81" i="2"/>
  <c r="D71" i="2"/>
  <c r="E71" i="2" s="1"/>
  <c r="G70" i="2"/>
  <c r="F70" i="2"/>
  <c r="D70" i="2"/>
  <c r="E70" i="2" s="1"/>
  <c r="G69" i="2"/>
  <c r="F69" i="2"/>
  <c r="D37" i="2" s="1"/>
  <c r="D69" i="2"/>
  <c r="E69" i="2" s="1"/>
  <c r="E37" i="2" s="1"/>
  <c r="J37" i="2" s="1"/>
  <c r="C9" i="2" s="1"/>
  <c r="G68" i="2"/>
  <c r="F68" i="2"/>
  <c r="D68" i="2"/>
  <c r="E68" i="2" s="1"/>
  <c r="E38" i="2" s="1"/>
  <c r="J38" i="2" s="1"/>
  <c r="C10" i="2" s="1"/>
  <c r="D67" i="2"/>
  <c r="E67" i="2" s="1"/>
  <c r="G66" i="2"/>
  <c r="F66" i="2"/>
  <c r="D40" i="2" s="1"/>
  <c r="E66" i="2"/>
  <c r="G65" i="2"/>
  <c r="E41" i="2" s="1"/>
  <c r="F65" i="2"/>
  <c r="E65" i="2"/>
  <c r="G64" i="2"/>
  <c r="F64" i="2"/>
  <c r="E64" i="2"/>
  <c r="G63" i="2"/>
  <c r="F63" i="2"/>
  <c r="E63" i="2"/>
  <c r="E62" i="2"/>
  <c r="E61" i="2"/>
  <c r="E60" i="2"/>
  <c r="E59" i="2"/>
  <c r="E58" i="2"/>
  <c r="E57" i="2"/>
  <c r="E56" i="2"/>
  <c r="E55" i="2"/>
  <c r="B73" i="2" s="1"/>
  <c r="C52" i="2" s="1"/>
  <c r="O52" i="2"/>
  <c r="M52" i="2"/>
  <c r="B52" i="2"/>
  <c r="Q51" i="2"/>
  <c r="N51" i="2"/>
  <c r="L51" i="2"/>
  <c r="K51" i="2"/>
  <c r="D23" i="2" s="1"/>
  <c r="J51" i="2"/>
  <c r="C23" i="2" s="1"/>
  <c r="I51" i="2"/>
  <c r="H51" i="2"/>
  <c r="G51" i="2"/>
  <c r="Q50" i="2"/>
  <c r="N50" i="2"/>
  <c r="J50" i="2"/>
  <c r="I50" i="2"/>
  <c r="K50" i="2" s="1"/>
  <c r="D22" i="2" s="1"/>
  <c r="H50" i="2"/>
  <c r="L50" i="2" s="1"/>
  <c r="G50" i="2"/>
  <c r="Q49" i="2"/>
  <c r="N49" i="2"/>
  <c r="J49" i="2"/>
  <c r="I49" i="2"/>
  <c r="K49" i="2" s="1"/>
  <c r="D21" i="2" s="1"/>
  <c r="H49" i="2"/>
  <c r="L49" i="2" s="1"/>
  <c r="G49" i="2"/>
  <c r="Q48" i="2"/>
  <c r="N48" i="2"/>
  <c r="L48" i="2"/>
  <c r="K48" i="2"/>
  <c r="J48" i="2"/>
  <c r="I48" i="2"/>
  <c r="H48" i="2"/>
  <c r="G48" i="2"/>
  <c r="Q47" i="2"/>
  <c r="N47" i="2"/>
  <c r="J47" i="2"/>
  <c r="C19" i="2" s="1"/>
  <c r="I47" i="2"/>
  <c r="B19" i="2" s="1"/>
  <c r="H47" i="2"/>
  <c r="L47" i="2" s="1"/>
  <c r="G47" i="2"/>
  <c r="Q46" i="2"/>
  <c r="N46" i="2"/>
  <c r="L46" i="2"/>
  <c r="J46" i="2"/>
  <c r="I46" i="2"/>
  <c r="K46" i="2" s="1"/>
  <c r="D18" i="2" s="1"/>
  <c r="G46" i="2"/>
  <c r="Q45" i="2"/>
  <c r="N45" i="2"/>
  <c r="L45" i="2"/>
  <c r="K45" i="2"/>
  <c r="D17" i="2" s="1"/>
  <c r="J45" i="2"/>
  <c r="C17" i="2" s="1"/>
  <c r="I45" i="2"/>
  <c r="B17" i="2" s="1"/>
  <c r="G45" i="2"/>
  <c r="Q44" i="2"/>
  <c r="N44" i="2"/>
  <c r="J44" i="2"/>
  <c r="I44" i="2"/>
  <c r="K44" i="2" s="1"/>
  <c r="D16" i="2" s="1"/>
  <c r="G44" i="2"/>
  <c r="H44" i="2" s="1"/>
  <c r="L44" i="2" s="1"/>
  <c r="Q43" i="2"/>
  <c r="N43" i="2"/>
  <c r="L43" i="2"/>
  <c r="I43" i="2"/>
  <c r="H43" i="2"/>
  <c r="E43" i="2"/>
  <c r="E15" i="2" s="1"/>
  <c r="D43" i="2"/>
  <c r="Q42" i="2"/>
  <c r="N42" i="2"/>
  <c r="K42" i="2"/>
  <c r="D14" i="2" s="1"/>
  <c r="J42" i="2"/>
  <c r="I42" i="2"/>
  <c r="Q41" i="2"/>
  <c r="N41" i="2"/>
  <c r="I41" i="2"/>
  <c r="Q40" i="2"/>
  <c r="N40" i="2"/>
  <c r="J40" i="2"/>
  <c r="E40" i="2"/>
  <c r="Q39" i="2"/>
  <c r="N39" i="2"/>
  <c r="Q38" i="2"/>
  <c r="N38" i="2"/>
  <c r="Q37" i="2"/>
  <c r="N37" i="2"/>
  <c r="Q36" i="2"/>
  <c r="N36" i="2"/>
  <c r="E36" i="2"/>
  <c r="D36" i="2"/>
  <c r="G36" i="2" s="1"/>
  <c r="K36" i="2" s="1"/>
  <c r="D8" i="2" s="1"/>
  <c r="Q35" i="2"/>
  <c r="N35" i="2"/>
  <c r="G35" i="2"/>
  <c r="E35" i="2"/>
  <c r="D35" i="2"/>
  <c r="Q34" i="2"/>
  <c r="N34" i="2"/>
  <c r="E34" i="2"/>
  <c r="D34" i="2"/>
  <c r="G34" i="2" s="1"/>
  <c r="Q33" i="2"/>
  <c r="N33" i="2"/>
  <c r="G33" i="2"/>
  <c r="E33" i="2"/>
  <c r="D33" i="2"/>
  <c r="E5" i="2" s="1"/>
  <c r="Q32" i="2"/>
  <c r="N32" i="2"/>
  <c r="E32" i="2"/>
  <c r="D32" i="2"/>
  <c r="G32" i="2" s="1"/>
  <c r="Q31" i="2"/>
  <c r="N31" i="2"/>
  <c r="E31" i="2"/>
  <c r="D31" i="2"/>
  <c r="E3" i="2" s="1"/>
  <c r="Q30" i="2"/>
  <c r="N30" i="2"/>
  <c r="E30" i="2"/>
  <c r="G30" i="2" s="1"/>
  <c r="D30" i="2"/>
  <c r="G24" i="2"/>
  <c r="F24" i="2"/>
  <c r="G23" i="2"/>
  <c r="F23" i="2"/>
  <c r="E23" i="2"/>
  <c r="B23" i="2"/>
  <c r="G22" i="2"/>
  <c r="F22" i="2"/>
  <c r="E22" i="2"/>
  <c r="C22" i="2"/>
  <c r="B22" i="2"/>
  <c r="G21" i="2"/>
  <c r="F21" i="2"/>
  <c r="E21" i="2"/>
  <c r="C21" i="2"/>
  <c r="B21" i="2"/>
  <c r="G20" i="2"/>
  <c r="F20" i="2"/>
  <c r="E20" i="2"/>
  <c r="E25" i="2" s="1"/>
  <c r="D20" i="2"/>
  <c r="C20" i="2"/>
  <c r="B20" i="2"/>
  <c r="G19" i="2"/>
  <c r="G25" i="2" s="1"/>
  <c r="F19" i="2"/>
  <c r="F25" i="2" s="1"/>
  <c r="E19" i="2"/>
  <c r="G18" i="2"/>
  <c r="F18" i="2"/>
  <c r="E18" i="2"/>
  <c r="C18" i="2"/>
  <c r="B18" i="2"/>
  <c r="G17" i="2"/>
  <c r="F17" i="2"/>
  <c r="E17" i="2"/>
  <c r="G16" i="2"/>
  <c r="F16" i="2"/>
  <c r="E16" i="2"/>
  <c r="C16" i="2"/>
  <c r="G15" i="2"/>
  <c r="F15" i="2"/>
  <c r="G14" i="2"/>
  <c r="F14" i="2"/>
  <c r="E14" i="2"/>
  <c r="C14" i="2"/>
  <c r="B14" i="2"/>
  <c r="G13" i="2"/>
  <c r="F13" i="2"/>
  <c r="B13" i="2"/>
  <c r="G12" i="2"/>
  <c r="F12" i="2"/>
  <c r="C12" i="2"/>
  <c r="G11" i="2"/>
  <c r="F11" i="2"/>
  <c r="G10" i="2"/>
  <c r="F10" i="2"/>
  <c r="G9" i="2"/>
  <c r="F9" i="2"/>
  <c r="G8" i="2"/>
  <c r="F8" i="2"/>
  <c r="E8" i="2"/>
  <c r="C8" i="2"/>
  <c r="B8" i="2"/>
  <c r="G7" i="2"/>
  <c r="F7" i="2"/>
  <c r="E7" i="2"/>
  <c r="D7" i="2"/>
  <c r="C7" i="2"/>
  <c r="B7" i="2"/>
  <c r="G6" i="2"/>
  <c r="F6" i="2"/>
  <c r="E6" i="2"/>
  <c r="D6" i="2"/>
  <c r="C6" i="2"/>
  <c r="B6" i="2"/>
  <c r="G5" i="2"/>
  <c r="F5" i="2"/>
  <c r="D5" i="2"/>
  <c r="C5" i="2"/>
  <c r="B5" i="2"/>
  <c r="G4" i="2"/>
  <c r="F4" i="2"/>
  <c r="E4" i="2"/>
  <c r="D4" i="2"/>
  <c r="C4" i="2"/>
  <c r="B4" i="2"/>
  <c r="G3" i="2"/>
  <c r="F3" i="2"/>
  <c r="D3" i="2"/>
  <c r="C3" i="2"/>
  <c r="B3" i="2"/>
  <c r="G2" i="2"/>
  <c r="F2" i="2"/>
  <c r="E2" i="2"/>
  <c r="D2" i="2"/>
  <c r="C2" i="2"/>
  <c r="B2" i="2"/>
  <c r="D25" i="1"/>
  <c r="C25" i="1"/>
  <c r="G53" i="2" l="1"/>
  <c r="H53" i="2" s="1"/>
  <c r="G41" i="2"/>
  <c r="E13" i="2"/>
  <c r="J41" i="2"/>
  <c r="C13" i="2" s="1"/>
  <c r="G40" i="2"/>
  <c r="E12" i="2"/>
  <c r="I40" i="2"/>
  <c r="E39" i="2"/>
  <c r="J39" i="2" s="1"/>
  <c r="C11" i="2" s="1"/>
  <c r="D39" i="2"/>
  <c r="G52" i="2"/>
  <c r="H52" i="2" s="1"/>
  <c r="L52" i="2" s="1"/>
  <c r="I52" i="2"/>
  <c r="K52" i="2" s="1"/>
  <c r="D38" i="2"/>
  <c r="K41" i="2"/>
  <c r="D13" i="2" s="1"/>
  <c r="Q52" i="2"/>
  <c r="N52" i="2"/>
  <c r="G37" i="2"/>
  <c r="E9" i="2"/>
  <c r="I37" i="2"/>
  <c r="E24" i="2"/>
  <c r="B16" i="2"/>
  <c r="G31" i="2"/>
  <c r="K47" i="2"/>
  <c r="D19" i="2" s="1"/>
  <c r="D25" i="2" s="1"/>
  <c r="E81" i="2"/>
  <c r="B15" i="2"/>
  <c r="J43" i="2"/>
  <c r="C15" i="2" s="1"/>
  <c r="J50" i="3"/>
  <c r="J49" i="3"/>
  <c r="J48" i="3"/>
  <c r="J47" i="3"/>
  <c r="K44" i="3"/>
  <c r="K43" i="3"/>
  <c r="K42" i="3"/>
  <c r="K41" i="3"/>
  <c r="K40" i="3"/>
  <c r="K39" i="3"/>
  <c r="K38" i="3"/>
  <c r="K37" i="3"/>
  <c r="K36" i="3"/>
  <c r="K35" i="3"/>
  <c r="K34" i="3"/>
  <c r="K33" i="3"/>
  <c r="K32" i="3"/>
  <c r="K31" i="3"/>
  <c r="K30" i="3"/>
  <c r="K29" i="3"/>
  <c r="K28" i="3"/>
  <c r="L10" i="3"/>
  <c r="G7" i="3"/>
  <c r="B7" i="3"/>
  <c r="G6" i="3"/>
  <c r="B6" i="3"/>
  <c r="L5" i="3"/>
  <c r="G5" i="3"/>
  <c r="C4" i="3"/>
  <c r="B5" i="3" s="1"/>
  <c r="H3" i="3"/>
  <c r="G8" i="3" l="1"/>
  <c r="B9" i="2"/>
  <c r="K37" i="2"/>
  <c r="D9" i="2" s="1"/>
  <c r="I38" i="2"/>
  <c r="G38" i="2"/>
  <c r="E10" i="2"/>
  <c r="E11" i="2"/>
  <c r="I39" i="2"/>
  <c r="G39" i="2"/>
  <c r="K40" i="2"/>
  <c r="D12" i="2" s="1"/>
  <c r="B12" i="2"/>
  <c r="K43" i="2"/>
  <c r="D15" i="2" s="1"/>
  <c r="D24" i="2" s="1"/>
  <c r="G9" i="3"/>
  <c r="B9" i="3"/>
  <c r="B8" i="3"/>
  <c r="B11" i="3" s="1"/>
  <c r="L8" i="3"/>
  <c r="L7" i="3"/>
  <c r="L6" i="3"/>
  <c r="G11" i="3"/>
  <c r="L9" i="3"/>
  <c r="B11" i="2" l="1"/>
  <c r="K39" i="2"/>
  <c r="D11" i="2" s="1"/>
  <c r="K38" i="2"/>
  <c r="D10" i="2" s="1"/>
  <c r="B10" i="2"/>
  <c r="L11" i="3"/>
  <c r="B27" i="1" l="1"/>
  <c r="C27" i="1" s="1"/>
  <c r="B31" i="1" l="1"/>
  <c r="B12" i="1"/>
  <c r="B37" i="1"/>
  <c r="H30" i="1"/>
  <c r="B30" i="1"/>
  <c r="H26" i="1" l="1"/>
  <c r="D26" i="1"/>
  <c r="C26" i="1"/>
  <c r="H31" i="1"/>
  <c r="B28" i="1"/>
  <c r="F26" i="1" l="1"/>
  <c r="E26" i="1"/>
  <c r="E25" i="1" s="1"/>
  <c r="F25" i="1" s="1"/>
  <c r="G26" i="1"/>
  <c r="H27" i="1"/>
  <c r="C28" i="1" l="1"/>
  <c r="D27" i="1"/>
  <c r="E27" i="1" l="1"/>
  <c r="D28" i="1"/>
  <c r="F27" i="1" l="1"/>
  <c r="G27" i="1" l="1"/>
  <c r="C30" i="1" l="1"/>
  <c r="C31" i="1" s="1"/>
  <c r="C32" i="1" l="1"/>
  <c r="D30" i="1"/>
  <c r="D31" i="1" l="1"/>
  <c r="D32" i="1" s="1"/>
  <c r="E30" i="1"/>
  <c r="E31" i="1" l="1"/>
  <c r="F30" i="1"/>
  <c r="F31" i="1" l="1"/>
  <c r="G30" i="1"/>
  <c r="G31" i="1" s="1"/>
  <c r="E28" i="1" l="1"/>
  <c r="E32" i="1" s="1"/>
  <c r="G25" i="1" l="1"/>
  <c r="F28" i="1" l="1"/>
  <c r="F32" i="1" s="1"/>
  <c r="G28" i="1"/>
  <c r="H25" i="1"/>
  <c r="H28" i="1" l="1"/>
  <c r="G29" i="1" s="1"/>
  <c r="G32" i="1" l="1"/>
  <c r="B33" i="1" s="1"/>
  <c r="B35" i="1" l="1"/>
  <c r="B34" i="1"/>
  <c r="B36" i="1"/>
  <c r="B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tc={7DBAEAD6-0AB8-1B4F-A31A-3ECC568B1F5A}</author>
  </authors>
  <commentList>
    <comment ref="B3" authorId="0" shapeId="0" xr:uid="{00000000-0006-0000-0000-000002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Enter the current level of the index.</t>
        </r>
      </text>
    </comment>
    <comment ref="B5" authorId="0" shapeId="0" xr:uid="{00000000-0006-0000-0000-000006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Thks is the current rate on a long term government bond.</t>
        </r>
      </text>
    </comment>
    <comment ref="B11" authorId="0" shapeId="0" xr:uid="{00000000-0006-0000-0000-000007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This is the expected risk premium for investing in stock.</t>
        </r>
      </text>
    </comment>
    <comment ref="B12" authorId="0" shapeId="0" xr:uid="{00000000-0006-0000-0000-000008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As a default, I will set this equal to the treasury bond rate. You can reset it to a lower number.</t>
        </r>
      </text>
    </comment>
    <comment ref="B15" authorId="1" shapeId="0" xr:uid="{7DBAEAD6-0AB8-1B4F-A31A-3ECC568B1F5A}">
      <text>
        <t>[Threaded comment]
Your version of Excel allows you to read this threaded comment; however, any edits to it will get removed if the file is opened in a newer version of Excel. Learn more: https://go.microsoft.com/fwlink/?linkid=870924
Comment:
    Check earnings and growth worksheet for estimates of earnings for 2021 and 2022.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A1" authorId="0" shapeId="0" xr:uid="{2EF03413-D333-B34C-9AA7-2979D145C554}">
      <text>
        <r>
          <rPr>
            <b/>
            <sz val="9"/>
            <color rgb="FF000000"/>
            <rFont val="Geneva"/>
            <family val="2"/>
            <charset val="1"/>
          </rPr>
          <t xml:space="preserve">Aswath Damodaran:
</t>
        </r>
        <r>
          <rPr>
            <b/>
            <sz val="9"/>
            <color rgb="FF000000"/>
            <rFont val="Geneva"/>
            <family val="2"/>
            <charset val="1"/>
          </rPr>
          <t>These are estimated by aggregating the analyst forecasts of earnings for the individual companies in the S&amp;P 500. Historically, these numbers have been upward biased at the index level.</t>
        </r>
      </text>
    </comment>
    <comment ref="F1" authorId="0" shapeId="0" xr:uid="{0E3E1D83-48E3-D34A-80D8-BC1DAAAFB347}">
      <text>
        <r>
          <rPr>
            <b/>
            <sz val="9"/>
            <color rgb="FF000000"/>
            <rFont val="Geneva"/>
            <family val="2"/>
            <charset val="1"/>
          </rPr>
          <t xml:space="preserve">Aswath Damodaran:
</t>
        </r>
        <r>
          <rPr>
            <b/>
            <sz val="9"/>
            <color rgb="FF000000"/>
            <rFont val="Geneva"/>
            <family val="2"/>
            <charset val="1"/>
          </rPr>
          <t>These are estimated by aggregating the analyst forecasts of earnings for the individual companies in the S&amp;P 500. Historically, these numbers have been upward biased at the index level.</t>
        </r>
      </text>
    </comment>
    <comment ref="K1" authorId="0" shapeId="0" xr:uid="{76888780-9219-F14A-BE82-D4EE70766EEC}">
      <text>
        <r>
          <rPr>
            <b/>
            <sz val="9"/>
            <color rgb="FF000000"/>
            <rFont val="Geneva"/>
            <family val="2"/>
            <charset val="1"/>
          </rPr>
          <t xml:space="preserve">Aswath Damodaran:
</t>
        </r>
        <r>
          <rPr>
            <b/>
            <sz val="9"/>
            <color rgb="FF000000"/>
            <rFont val="Geneva"/>
            <family val="2"/>
            <charset val="1"/>
          </rPr>
          <t>These are estimated by aggregating the analyst forecasts of earnings for the individual companies in the S&amp;P 500. Historically, these numbers have been upward biased at the index level.</t>
        </r>
      </text>
    </comment>
  </commentList>
</comments>
</file>

<file path=xl/sharedStrings.xml><?xml version="1.0" encoding="utf-8"?>
<sst xmlns="http://schemas.openxmlformats.org/spreadsheetml/2006/main" count="225" uniqueCount="187">
  <si>
    <t>Expected Terminal Value =</t>
  </si>
  <si>
    <t>Present Value =</t>
  </si>
  <si>
    <t>Intrinsic Value of Index =</t>
  </si>
  <si>
    <t>Dividend Yield</t>
  </si>
  <si>
    <t>Buybacks/Index</t>
  </si>
  <si>
    <t>Year</t>
  </si>
  <si>
    <t>Dividends</t>
  </si>
  <si>
    <t>Buybacks</t>
  </si>
  <si>
    <t>Quarter</t>
  </si>
  <si>
    <t>4 quarters ago</t>
  </si>
  <si>
    <t>3 quarters ago</t>
  </si>
  <si>
    <t>2 quarters ago</t>
  </si>
  <si>
    <t>Last quarter</t>
  </si>
  <si>
    <t>Sum</t>
  </si>
  <si>
    <t>Average: Last 10 years =</t>
  </si>
  <si>
    <t>Average: Last 5 years</t>
  </si>
  <si>
    <t>Compounded average</t>
  </si>
  <si>
    <t>Index units adjuster =</t>
  </si>
  <si>
    <t>Index level</t>
  </si>
  <si>
    <t>Unit adjuster</t>
  </si>
  <si>
    <t>Market Cap</t>
  </si>
  <si>
    <t>Index at the start of the current quarter =</t>
  </si>
  <si>
    <t>Enter current level of index</t>
  </si>
  <si>
    <t>Source</t>
  </si>
  <si>
    <t>Earnings on Index</t>
  </si>
  <si>
    <t>Updated at the start of every quarter</t>
  </si>
  <si>
    <t>Last updated</t>
  </si>
  <si>
    <t>Earnings</t>
  </si>
  <si>
    <t>Payout</t>
  </si>
  <si>
    <t>Book Value of Equity at start of year</t>
  </si>
  <si>
    <t>Sales per share</t>
  </si>
  <si>
    <t>Return on Equity</t>
  </si>
  <si>
    <t>Net Profit Margin</t>
  </si>
  <si>
    <t>Inputs</t>
  </si>
  <si>
    <t>Enter current long term risk free rate  =</t>
  </si>
  <si>
    <t>Historical Equity risk premium (US) =</t>
  </si>
  <si>
    <t>Average implied ERP (last decade) =</t>
  </si>
  <si>
    <t>Average implied ERP (1960-Current) =</t>
  </si>
  <si>
    <t>Earnings Yield</t>
  </si>
  <si>
    <t>T.Bond Rate</t>
  </si>
  <si>
    <t>Implied ERP</t>
  </si>
  <si>
    <t>HUS</t>
  </si>
  <si>
    <t>ERP10</t>
  </si>
  <si>
    <t>ERP used to compute fair value of index (you can override this number) =</t>
  </si>
  <si>
    <t>If you want to compute an intrinsic value for index, what ERP would you like to use?</t>
  </si>
  <si>
    <t>Inflation rate</t>
  </si>
  <si>
    <t>Inflation adjusted Earnings</t>
  </si>
  <si>
    <t>Intrinsic Trailing PE =</t>
  </si>
  <si>
    <t>Factset</t>
  </si>
  <si>
    <t>Thomson Reuters</t>
  </si>
  <si>
    <t>Intrinsic CAPE (based on inflation-adjusted ten year average earnings) =</t>
  </si>
  <si>
    <t>Expected growth rate in the long term (after year 5) =</t>
  </si>
  <si>
    <t>Historical High ERP (1960-Current) =</t>
  </si>
  <si>
    <t>ERPHigh</t>
  </si>
  <si>
    <t>ERPLong</t>
  </si>
  <si>
    <t>Issuances</t>
  </si>
  <si>
    <t>Stock Issuances</t>
  </si>
  <si>
    <t>Gross Cash Yield</t>
  </si>
  <si>
    <t>Net Cash Yield</t>
  </si>
  <si>
    <t>Computing the trailing 12 month number (S&amp;P Data updated every quarter on March 15, June 15, Sept 15 and Dec 15)</t>
  </si>
  <si>
    <t>Month</t>
  </si>
  <si>
    <t>Trailing four quarters</t>
  </si>
  <si>
    <t>Updated at the start of every month</t>
  </si>
  <si>
    <t>S&amp;P Cap IQ update</t>
  </si>
  <si>
    <t>S&amp;P Capital IQ data (updated every month and does not match up to the S&amp;P update every three quarters)</t>
  </si>
  <si>
    <t>Index Units Adjuster</t>
  </si>
  <si>
    <t>Net Cash to Equity</t>
  </si>
  <si>
    <t>Expected Earnings</t>
  </si>
  <si>
    <t>Expected cash payout (dividends + buybacks) as % of earnings</t>
  </si>
  <si>
    <t>Terminal Year</t>
  </si>
  <si>
    <t>Yes</t>
  </si>
  <si>
    <t>No</t>
  </si>
  <si>
    <t>Yes/No</t>
  </si>
  <si>
    <t>Average</t>
  </si>
  <si>
    <t>Column1</t>
  </si>
  <si>
    <t>Expected Dividends + Buybacks =</t>
  </si>
  <si>
    <t>Yardeni</t>
  </si>
  <si>
    <t>S&amp;P Capital IQ</t>
  </si>
  <si>
    <t>Column2</t>
  </si>
  <si>
    <t>Base for normalized Cashflow</t>
  </si>
  <si>
    <t>individual companies for next two years</t>
  </si>
  <si>
    <t>Used estimated Net Income aggregated across</t>
  </si>
  <si>
    <t>Analyst Consensus</t>
  </si>
  <si>
    <t>S&amp;P 500 Intrinsic Value Estimator</t>
  </si>
  <si>
    <t xml:space="preserve">Do you want to change the risk free rate after year 5 </t>
  </si>
  <si>
    <t>Equity Risk Premium Choices</t>
  </si>
  <si>
    <t>Growth and Discount Rate Inputs</t>
  </si>
  <si>
    <t>If yes, riskfree rate after year 5</t>
  </si>
  <si>
    <t>Return on Equity =</t>
  </si>
  <si>
    <t>ERPDirect</t>
  </si>
  <si>
    <t>Market Strategists Estimates</t>
  </si>
  <si>
    <t>BMO</t>
  </si>
  <si>
    <t>Brian Belski</t>
  </si>
  <si>
    <t>Jonathan Golub</t>
  </si>
  <si>
    <t>Dubravko Lakos-Bujas</t>
  </si>
  <si>
    <t>Mike Wilson</t>
  </si>
  <si>
    <t>Lori Calvasina</t>
  </si>
  <si>
    <t>UBS</t>
  </si>
  <si>
    <t>Median</t>
  </si>
  <si>
    <t>High</t>
  </si>
  <si>
    <t>Low</t>
  </si>
  <si>
    <t>Intrinsic Value Estimate (based on your choice of ERP)</t>
  </si>
  <si>
    <t>Direct Input</t>
  </si>
  <si>
    <t>Historical Low ERP (1960-Current) =</t>
  </si>
  <si>
    <t>HL</t>
  </si>
  <si>
    <t>Riskfree Rate</t>
  </si>
  <si>
    <t>Required Return on Stocks</t>
  </si>
  <si>
    <t>Earnings Forecasts</t>
  </si>
  <si>
    <t>Do you want the change to be gradual or sudden (in year 6)?</t>
  </si>
  <si>
    <t>Immediate (starting now)</t>
  </si>
  <si>
    <t>Gradual (over 5 years)</t>
  </si>
  <si>
    <t>End (at the end of 5 years)</t>
  </si>
  <si>
    <t>If so, enter the percentage difference (negative to lower, positive to increase)</t>
  </si>
  <si>
    <t>Change in Riskfree Rate</t>
  </si>
  <si>
    <t>Actual Index level =</t>
  </si>
  <si>
    <t>% Under or Over Valuation =</t>
  </si>
  <si>
    <t>Do not input</t>
  </si>
  <si>
    <t>Change this to any ERP you want</t>
  </si>
  <si>
    <t>Input cell</t>
  </si>
  <si>
    <t>Output cell.</t>
  </si>
  <si>
    <t>Intrinsic Forward PE =</t>
  </si>
  <si>
    <t>Expected Earnings Growth Rate</t>
  </si>
  <si>
    <t>CAGR: 2021E</t>
  </si>
  <si>
    <t>FIRM </t>
  </si>
  <si>
    <t>STRATEGIST </t>
  </si>
  <si>
    <t>2022 S&amp;P 500 </t>
  </si>
  <si>
    <t>Scott Chronert</t>
  </si>
  <si>
    <t>Keith Parker</t>
  </si>
  <si>
    <t>Start of year</t>
  </si>
  <si>
    <t>Sources for top down estimates</t>
  </si>
  <si>
    <t>Earnings in 2024</t>
  </si>
  <si>
    <t>Bottom-up Estimates (Factset on 12/22)</t>
  </si>
  <si>
    <t>2022E</t>
  </si>
  <si>
    <t>CAGR</t>
  </si>
  <si>
    <t>On 12/31/22</t>
  </si>
  <si>
    <t>2023 EPS</t>
  </si>
  <si>
    <t>IMPLIED P/E </t>
  </si>
  <si>
    <t>Deutsche Bank</t>
  </si>
  <si>
    <t>Binky Chadha</t>
  </si>
  <si>
    <t>Scotiabank</t>
  </si>
  <si>
    <t>Hugo Ste-Marie</t>
  </si>
  <si>
    <t>Jeffries</t>
  </si>
  <si>
    <t>Sean Darby</t>
  </si>
  <si>
    <t>JP Morgan</t>
  </si>
  <si>
    <t>Cantor Fitzgerald</t>
  </si>
  <si>
    <t>Eric Johnson</t>
  </si>
  <si>
    <t>RBC Capital Markets</t>
  </si>
  <si>
    <t>Credit Suisse</t>
  </si>
  <si>
    <t>Bank of America</t>
  </si>
  <si>
    <t>Savita Subramaniam</t>
  </si>
  <si>
    <t>Goldman Sachs</t>
  </si>
  <si>
    <t>Davis Kostin</t>
  </si>
  <si>
    <t>HSBC</t>
  </si>
  <si>
    <t>Max Kettner</t>
  </si>
  <si>
    <t>Citigroup</t>
  </si>
  <si>
    <t>Morgan Stanley</t>
  </si>
  <si>
    <t>Barclays</t>
  </si>
  <si>
    <t>Venu Krishna</t>
  </si>
  <si>
    <t>Societe Generale</t>
  </si>
  <si>
    <t>Manish Kabra</t>
  </si>
  <si>
    <t>BNP Paribas</t>
  </si>
  <si>
    <t>Greg Boutle</t>
  </si>
  <si>
    <t>Evercore ISI</t>
  </si>
  <si>
    <t>Julian Emmanuel</t>
  </si>
  <si>
    <t>-</t>
  </si>
  <si>
    <t>Stifel</t>
  </si>
  <si>
    <t>Barry Bannister</t>
  </si>
  <si>
    <t>Earnings in 2025</t>
  </si>
  <si>
    <t>Dividends and Buybacks in 2022 (Most recent year)</t>
  </si>
  <si>
    <t>Top Down Estimates (Yardeni on9/26/23)</t>
  </si>
  <si>
    <t>Top-down Estimates (Analyst Consensus on 9/26/23)</t>
  </si>
  <si>
    <t>Table will be updated once the year's final numbers are in. For 2022, for instance, the update was in March 2023</t>
  </si>
  <si>
    <t>Updated April 1, 2023</t>
  </si>
  <si>
    <t>Year</t>
    <phoneticPr fontId="12" type="noConversion"/>
  </si>
  <si>
    <t>Market value of index</t>
    <phoneticPr fontId="12" type="noConversion"/>
  </si>
  <si>
    <t>Dividends</t>
    <phoneticPr fontId="12" type="noConversion"/>
  </si>
  <si>
    <t>Buybacks</t>
    <phoneticPr fontId="12" type="noConversion"/>
  </si>
  <si>
    <t>Cash to equity</t>
    <phoneticPr fontId="12" type="noConversion"/>
  </si>
  <si>
    <t>Dividend yield</t>
    <phoneticPr fontId="12" type="noConversion"/>
  </si>
  <si>
    <t>Buyback yield</t>
    <phoneticPr fontId="12" type="noConversion"/>
  </si>
  <si>
    <t>Ratio</t>
    <phoneticPr fontId="12" type="noConversion"/>
  </si>
  <si>
    <t>Updated October 1, 2023</t>
  </si>
  <si>
    <t>Updated September 1, 2023</t>
  </si>
  <si>
    <t>Earnings in 2023 (Most recent year.. Will not affect your valuation)</t>
  </si>
  <si>
    <t>Do you want to adjust 2024 earnings estimates to reflect your view on economy?</t>
  </si>
  <si>
    <t>If you choose to adjust the earnings estimates in 2024 up or down, from analyst forecasts, the effects will ripple into the following years, and have a permanent effect on earnings and value. Earnings in 2026-28 will be estimated based upon earnings in 2025, with growth scaling down to long term stable growth.</t>
  </si>
  <si>
    <t>LTM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</si>
</sst>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d/yy;@"/>
    <numFmt numFmtId="166" formatCode="0.0000000000000000%"/>
  </numFmts>
  <fonts count="39">
    <font>
      <b/>
      <sz val="10"/>
      <name val="Geneva"/>
      <family val="2"/>
    </font>
    <font>
      <b/>
      <sz val="10"/>
      <name val="Geneva"/>
      <family val="2"/>
    </font>
    <font>
      <i/>
      <sz val="10"/>
      <name val="Geneva"/>
      <family val="2"/>
    </font>
    <font>
      <b/>
      <i/>
      <sz val="10"/>
      <name val="Geneva"/>
      <family val="2"/>
    </font>
    <font>
      <sz val="10"/>
      <name val="Geneva"/>
      <family val="2"/>
    </font>
    <font>
      <sz val="24"/>
      <name val="Geneva"/>
      <family val="2"/>
    </font>
    <font>
      <sz val="10"/>
      <name val="Times"/>
      <family val="1"/>
    </font>
    <font>
      <b/>
      <sz val="10"/>
      <name val="Times"/>
      <family val="1"/>
    </font>
    <font>
      <sz val="12"/>
      <name val="Times"/>
      <family val="1"/>
    </font>
    <font>
      <b/>
      <sz val="12"/>
      <name val="Times"/>
      <family val="1"/>
    </font>
    <font>
      <b/>
      <u/>
      <sz val="10"/>
      <color indexed="12"/>
      <name val="Geneva"/>
      <family val="2"/>
    </font>
    <font>
      <sz val="8"/>
      <name val="Verdana"/>
      <family val="2"/>
    </font>
    <font>
      <b/>
      <sz val="12"/>
      <name val="Geneva"/>
      <family val="2"/>
    </font>
    <font>
      <b/>
      <sz val="24"/>
      <name val="Geneva"/>
      <family val="2"/>
    </font>
    <font>
      <sz val="16"/>
      <name val="Geneva"/>
      <family val="2"/>
    </font>
    <font>
      <i/>
      <sz val="10"/>
      <name val="Times"/>
      <family val="1"/>
    </font>
    <font>
      <b/>
      <sz val="10"/>
      <color rgb="FFFF0000"/>
      <name val="Geneva"/>
      <family val="2"/>
    </font>
    <font>
      <sz val="12"/>
      <name val="Calibri"/>
      <family val="2"/>
      <scheme val="minor"/>
    </font>
    <font>
      <sz val="10"/>
      <color rgb="FFFF0000"/>
      <name val="Times"/>
      <family val="1"/>
    </font>
    <font>
      <sz val="10"/>
      <name val="Calibri"/>
      <family val="2"/>
      <scheme val="minor"/>
    </font>
    <font>
      <i/>
      <sz val="10"/>
      <name val="Calibri"/>
      <family val="2"/>
      <scheme val="minor"/>
    </font>
    <font>
      <b/>
      <u/>
      <sz val="10"/>
      <color theme="11"/>
      <name val="Geneva"/>
      <family val="2"/>
    </font>
    <font>
      <sz val="12"/>
      <name val="Geneva"/>
      <family val="2"/>
    </font>
    <font>
      <sz val="10"/>
      <color theme="1"/>
      <name val="Times"/>
      <family val="1"/>
    </font>
    <font>
      <b/>
      <i/>
      <sz val="10"/>
      <name val="Times"/>
      <family val="1"/>
    </font>
    <font>
      <sz val="10"/>
      <name val="Times Roman"/>
    </font>
    <font>
      <sz val="10"/>
      <color rgb="FFFF0000"/>
      <name val="Times Roman"/>
    </font>
    <font>
      <b/>
      <sz val="14"/>
      <name val="Geneva"/>
      <family val="2"/>
    </font>
    <font>
      <b/>
      <sz val="9"/>
      <color rgb="FF000000"/>
      <name val="Geneva"/>
      <family val="2"/>
      <charset val="1"/>
    </font>
    <font>
      <sz val="9"/>
      <color rgb="FF000000"/>
      <name val="Geneva"/>
      <family val="2"/>
      <charset val="1"/>
    </font>
    <font>
      <sz val="10"/>
      <color theme="1"/>
      <name val="Times Roman"/>
    </font>
    <font>
      <sz val="12"/>
      <color rgb="FF747474"/>
      <name val="Helvetica"/>
      <family val="2"/>
    </font>
    <font>
      <sz val="12"/>
      <color rgb="FF000000"/>
      <name val="Helvetica"/>
      <family val="2"/>
    </font>
    <font>
      <b/>
      <sz val="10"/>
      <name val="Arial"/>
      <family val="2"/>
    </font>
    <font>
      <sz val="10"/>
      <name val="Arial"/>
      <family val="2"/>
    </font>
    <font>
      <sz val="12"/>
      <color theme="0"/>
      <name val="Calibri"/>
      <family val="2"/>
      <scheme val="minor"/>
    </font>
    <font>
      <sz val="10"/>
      <color theme="0"/>
      <name val="Times"/>
      <family val="1"/>
    </font>
    <font>
      <sz val="10"/>
      <color theme="0"/>
      <name val="Times Roman"/>
    </font>
    <font>
      <b/>
      <sz val="10"/>
      <color theme="0"/>
      <name val="Times"/>
      <family val="1"/>
    </font>
  </fonts>
  <fills count="10">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theme="1"/>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theme="0"/>
      </left>
      <right style="thin">
        <color theme="0"/>
      </right>
      <top style="thin">
        <color theme="0"/>
      </top>
      <bottom style="thin">
        <color theme="0"/>
      </bottom>
      <diagonal/>
    </border>
    <border>
      <left/>
      <right/>
      <top/>
      <bottom style="thin">
        <color theme="1"/>
      </bottom>
      <diagonal/>
    </border>
    <border>
      <left/>
      <right style="thin">
        <color theme="0"/>
      </right>
      <top style="thin">
        <color theme="0"/>
      </top>
      <bottom style="thin">
        <color theme="0"/>
      </bottom>
      <diagonal/>
    </border>
    <border>
      <left/>
      <right style="thin">
        <color indexed="64"/>
      </right>
      <top style="thin">
        <color theme="1"/>
      </top>
      <bottom style="thin">
        <color indexed="64"/>
      </bottom>
      <diagonal/>
    </border>
  </borders>
  <cellStyleXfs count="11">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194">
    <xf numFmtId="0" fontId="0" fillId="0" borderId="0" xfId="0"/>
    <xf numFmtId="0" fontId="5" fillId="0" borderId="0" xfId="0" applyFont="1"/>
    <xf numFmtId="0" fontId="6" fillId="0" borderId="0" xfId="0" applyFont="1"/>
    <xf numFmtId="0" fontId="6" fillId="0" borderId="1" xfId="0" applyFont="1" applyBorder="1"/>
    <xf numFmtId="0" fontId="7" fillId="0" borderId="0" xfId="0" applyFont="1"/>
    <xf numFmtId="44" fontId="6" fillId="0" borderId="0" xfId="2" applyFont="1" applyBorder="1"/>
    <xf numFmtId="0" fontId="0" fillId="0" borderId="0" xfId="0" applyAlignment="1">
      <alignment horizontal="center"/>
    </xf>
    <xf numFmtId="10" fontId="0" fillId="0" borderId="1"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1" xfId="0" applyBorder="1" applyAlignment="1">
      <alignment horizontal="center"/>
    </xf>
    <xf numFmtId="0" fontId="0" fillId="0" borderId="5" xfId="0" applyBorder="1" applyAlignment="1">
      <alignment horizontal="center"/>
    </xf>
    <xf numFmtId="2" fontId="8" fillId="0" borderId="1" xfId="0" applyNumberFormat="1" applyFont="1" applyBorder="1" applyAlignment="1">
      <alignment horizontal="center"/>
    </xf>
    <xf numFmtId="2" fontId="0" fillId="0" borderId="1" xfId="0" applyNumberFormat="1" applyBorder="1" applyAlignment="1">
      <alignment horizontal="center"/>
    </xf>
    <xf numFmtId="2" fontId="1" fillId="0" borderId="1" xfId="0" applyNumberFormat="1" applyFont="1" applyBorder="1" applyAlignment="1">
      <alignment horizontal="center"/>
    </xf>
    <xf numFmtId="0" fontId="4" fillId="0" borderId="1" xfId="0" applyFont="1" applyBorder="1" applyAlignment="1">
      <alignment horizontal="center"/>
    </xf>
    <xf numFmtId="2" fontId="4" fillId="0" borderId="1" xfId="0" applyNumberFormat="1" applyFont="1" applyBorder="1" applyAlignment="1">
      <alignment horizontal="center"/>
    </xf>
    <xf numFmtId="0" fontId="4" fillId="0" borderId="1" xfId="0" applyFont="1" applyBorder="1" applyAlignment="1">
      <alignment horizontal="left"/>
    </xf>
    <xf numFmtId="10" fontId="0" fillId="0" borderId="0" xfId="0" applyNumberFormat="1"/>
    <xf numFmtId="0" fontId="0" fillId="0" borderId="6" xfId="0" applyBorder="1" applyAlignment="1">
      <alignment horizontal="center"/>
    </xf>
    <xf numFmtId="0" fontId="0" fillId="0" borderId="2" xfId="0" applyBorder="1" applyAlignment="1">
      <alignment horizontal="center"/>
    </xf>
    <xf numFmtId="2" fontId="0" fillId="0" borderId="6" xfId="0" applyNumberFormat="1" applyBorder="1" applyAlignment="1">
      <alignment horizontal="center"/>
    </xf>
    <xf numFmtId="0" fontId="0" fillId="0" borderId="0" xfId="0" applyAlignment="1">
      <alignment horizontal="left"/>
    </xf>
    <xf numFmtId="10" fontId="7" fillId="0" borderId="0" xfId="0" applyNumberFormat="1" applyFont="1"/>
    <xf numFmtId="10" fontId="0" fillId="0" borderId="4" xfId="0" applyNumberFormat="1" applyBorder="1" applyAlignment="1">
      <alignment horizontal="center"/>
    </xf>
    <xf numFmtId="10" fontId="0" fillId="0" borderId="7" xfId="0" applyNumberFormat="1" applyBorder="1" applyAlignment="1">
      <alignment horizontal="center"/>
    </xf>
    <xf numFmtId="10" fontId="3" fillId="0" borderId="1" xfId="0" applyNumberFormat="1" applyFont="1" applyBorder="1" applyAlignment="1">
      <alignment horizontal="center"/>
    </xf>
    <xf numFmtId="10" fontId="0" fillId="0" borderId="0" xfId="4" applyNumberFormat="1" applyFont="1"/>
    <xf numFmtId="0" fontId="16" fillId="0" borderId="0" xfId="0" applyFont="1" applyAlignment="1">
      <alignment horizontal="left"/>
    </xf>
    <xf numFmtId="15" fontId="0" fillId="0" borderId="0" xfId="0" applyNumberFormat="1" applyAlignment="1">
      <alignment horizontal="center"/>
    </xf>
    <xf numFmtId="2" fontId="17" fillId="0" borderId="1" xfId="0" applyNumberFormat="1" applyFont="1" applyBorder="1" applyAlignment="1">
      <alignment horizontal="center"/>
    </xf>
    <xf numFmtId="0" fontId="17" fillId="0" borderId="1" xfId="0" applyFont="1" applyBorder="1" applyAlignment="1">
      <alignment horizontal="center"/>
    </xf>
    <xf numFmtId="0" fontId="0" fillId="0" borderId="0" xfId="0" applyAlignment="1">
      <alignment horizontal="center" wrapText="1"/>
    </xf>
    <xf numFmtId="10" fontId="0" fillId="0" borderId="5" xfId="0" applyNumberFormat="1"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10" fontId="0" fillId="0" borderId="1" xfId="4" applyNumberFormat="1" applyFont="1" applyBorder="1" applyAlignment="1">
      <alignment horizontal="center"/>
    </xf>
    <xf numFmtId="0" fontId="6" fillId="0" borderId="0" xfId="0" applyFont="1" applyAlignment="1">
      <alignment horizontal="center"/>
    </xf>
    <xf numFmtId="0" fontId="13" fillId="0" borderId="0" xfId="0" applyFont="1"/>
    <xf numFmtId="0" fontId="15" fillId="0" borderId="0" xfId="0" applyFont="1"/>
    <xf numFmtId="10" fontId="6" fillId="0" borderId="0" xfId="0" applyNumberFormat="1" applyFont="1" applyAlignment="1">
      <alignment horizontal="center"/>
    </xf>
    <xf numFmtId="0" fontId="4" fillId="0" borderId="0" xfId="0" applyFont="1"/>
    <xf numFmtId="2" fontId="0" fillId="0" borderId="0" xfId="0" applyNumberFormat="1" applyAlignment="1">
      <alignment horizontal="center"/>
    </xf>
    <xf numFmtId="0" fontId="0" fillId="0" borderId="10" xfId="0" applyBorder="1" applyAlignment="1">
      <alignment horizontal="center"/>
    </xf>
    <xf numFmtId="0" fontId="10" fillId="0" borderId="0" xfId="3" applyAlignment="1" applyProtection="1"/>
    <xf numFmtId="17" fontId="0" fillId="0" borderId="0" xfId="0" applyNumberFormat="1"/>
    <xf numFmtId="0" fontId="3" fillId="0" borderId="0" xfId="0" applyFont="1" applyAlignment="1">
      <alignment horizontal="left"/>
    </xf>
    <xf numFmtId="2" fontId="0" fillId="3" borderId="0" xfId="0" applyNumberFormat="1" applyFill="1" applyAlignment="1">
      <alignment horizontal="center"/>
    </xf>
    <xf numFmtId="0" fontId="0" fillId="3" borderId="0" xfId="0" applyFill="1" applyAlignment="1">
      <alignment horizontal="center"/>
    </xf>
    <xf numFmtId="0" fontId="0" fillId="3" borderId="0" xfId="0" applyFill="1"/>
    <xf numFmtId="0" fontId="0" fillId="2" borderId="2" xfId="0" applyFill="1" applyBorder="1" applyAlignment="1">
      <alignment horizontal="center"/>
    </xf>
    <xf numFmtId="10" fontId="19" fillId="0" borderId="1" xfId="0" applyNumberFormat="1" applyFont="1" applyBorder="1" applyAlignment="1">
      <alignment horizontal="center" vertical="center"/>
    </xf>
    <xf numFmtId="10" fontId="19" fillId="0" borderId="1" xfId="4" applyNumberFormat="1" applyFont="1" applyBorder="1" applyAlignment="1">
      <alignment horizontal="center" vertical="center"/>
    </xf>
    <xf numFmtId="10" fontId="19" fillId="0" borderId="1" xfId="0" applyNumberFormat="1" applyFont="1" applyBorder="1" applyAlignment="1">
      <alignment horizontal="center"/>
    </xf>
    <xf numFmtId="10" fontId="19" fillId="0" borderId="1" xfId="4" applyNumberFormat="1" applyFont="1" applyBorder="1" applyAlignment="1">
      <alignment horizontal="center"/>
    </xf>
    <xf numFmtId="0" fontId="2" fillId="0" borderId="1" xfId="0" applyFont="1" applyBorder="1" applyAlignment="1">
      <alignment horizontal="center" wrapText="1"/>
    </xf>
    <xf numFmtId="0" fontId="2" fillId="0" borderId="0" xfId="0" applyFont="1" applyAlignment="1">
      <alignment horizontal="center" wrapText="1"/>
    </xf>
    <xf numFmtId="165" fontId="0" fillId="3" borderId="0" xfId="0" applyNumberFormat="1" applyFill="1" applyAlignment="1">
      <alignment horizontal="center"/>
    </xf>
    <xf numFmtId="0" fontId="7" fillId="0" borderId="0" xfId="0" applyFont="1" applyAlignment="1">
      <alignment horizontal="center"/>
    </xf>
    <xf numFmtId="0" fontId="16" fillId="4" borderId="0" xfId="0" applyFont="1" applyFill="1" applyAlignment="1">
      <alignment horizontal="left"/>
    </xf>
    <xf numFmtId="0" fontId="1" fillId="4" borderId="0" xfId="0" applyFont="1" applyFill="1" applyAlignment="1">
      <alignment horizontal="center"/>
    </xf>
    <xf numFmtId="0" fontId="0" fillId="4" borderId="0" xfId="0" applyFill="1" applyAlignment="1">
      <alignment horizontal="center"/>
    </xf>
    <xf numFmtId="15" fontId="0" fillId="4" borderId="0" xfId="0" applyNumberFormat="1" applyFill="1" applyAlignment="1">
      <alignment horizontal="center"/>
    </xf>
    <xf numFmtId="0" fontId="19" fillId="0" borderId="0" xfId="0" applyFont="1" applyAlignment="1">
      <alignment horizontal="center"/>
    </xf>
    <xf numFmtId="0" fontId="0" fillId="3" borderId="1" xfId="0" applyFill="1" applyBorder="1" applyAlignment="1">
      <alignment horizontal="left"/>
    </xf>
    <xf numFmtId="0" fontId="0" fillId="3" borderId="1" xfId="0" applyFill="1" applyBorder="1" applyAlignment="1">
      <alignment horizontal="center"/>
    </xf>
    <xf numFmtId="2" fontId="0" fillId="3" borderId="1" xfId="0" applyNumberFormat="1" applyFill="1" applyBorder="1" applyAlignment="1">
      <alignment horizontal="center"/>
    </xf>
    <xf numFmtId="2" fontId="1" fillId="3" borderId="1" xfId="0" applyNumberFormat="1" applyFont="1" applyFill="1" applyBorder="1" applyAlignment="1">
      <alignment horizontal="center"/>
    </xf>
    <xf numFmtId="0" fontId="16" fillId="3" borderId="0" xfId="0" applyFont="1" applyFill="1" applyAlignment="1">
      <alignment horizontal="left"/>
    </xf>
    <xf numFmtId="15" fontId="0" fillId="3" borderId="0" xfId="0" applyNumberFormat="1" applyFill="1" applyAlignment="1">
      <alignment horizontal="center"/>
    </xf>
    <xf numFmtId="10" fontId="16" fillId="0" borderId="0" xfId="4" applyNumberFormat="1" applyFont="1" applyFill="1" applyBorder="1" applyAlignment="1" applyProtection="1"/>
    <xf numFmtId="1" fontId="0" fillId="0" borderId="1" xfId="0" applyNumberFormat="1" applyBorder="1" applyAlignment="1">
      <alignment horizontal="center"/>
    </xf>
    <xf numFmtId="0" fontId="0" fillId="2" borderId="1" xfId="0" applyFill="1" applyBorder="1"/>
    <xf numFmtId="0" fontId="19" fillId="0" borderId="7" xfId="0" applyFont="1" applyBorder="1" applyAlignment="1">
      <alignment horizontal="center" vertical="center"/>
    </xf>
    <xf numFmtId="1" fontId="19" fillId="0" borderId="7" xfId="0" applyNumberFormat="1" applyFont="1" applyBorder="1" applyAlignment="1">
      <alignment horizontal="center" vertical="center"/>
    </xf>
    <xf numFmtId="1" fontId="19" fillId="0" borderId="7" xfId="0" applyNumberFormat="1" applyFont="1" applyBorder="1" applyAlignment="1">
      <alignment horizontal="center"/>
    </xf>
    <xf numFmtId="0" fontId="19" fillId="0" borderId="7" xfId="0" applyFont="1" applyBorder="1" applyAlignment="1">
      <alignment horizontal="center"/>
    </xf>
    <xf numFmtId="10" fontId="19" fillId="0" borderId="5" xfId="0" applyNumberFormat="1" applyFont="1" applyBorder="1" applyAlignment="1">
      <alignment horizontal="center" vertical="center"/>
    </xf>
    <xf numFmtId="10" fontId="19" fillId="0" borderId="5" xfId="0" applyNumberFormat="1" applyFont="1" applyBorder="1" applyAlignment="1">
      <alignment horizontal="center"/>
    </xf>
    <xf numFmtId="0" fontId="20" fillId="0" borderId="11" xfId="0" applyFont="1" applyBorder="1" applyAlignment="1">
      <alignment horizontal="center" vertical="center"/>
    </xf>
    <xf numFmtId="0" fontId="20" fillId="0" borderId="3" xfId="0" applyFont="1" applyBorder="1" applyAlignment="1">
      <alignment horizontal="center" vertical="center"/>
    </xf>
    <xf numFmtId="10" fontId="20" fillId="0" borderId="12" xfId="0" applyNumberFormat="1" applyFont="1" applyBorder="1" applyAlignment="1">
      <alignment horizontal="center" vertical="center"/>
    </xf>
    <xf numFmtId="0" fontId="19" fillId="0" borderId="13" xfId="0" applyFont="1" applyBorder="1" applyAlignment="1">
      <alignment horizontal="center"/>
    </xf>
    <xf numFmtId="10" fontId="19" fillId="0" borderId="6" xfId="0" applyNumberFormat="1" applyFont="1" applyBorder="1" applyAlignment="1">
      <alignment horizontal="center"/>
    </xf>
    <xf numFmtId="10" fontId="19" fillId="0" borderId="10" xfId="0" applyNumberFormat="1" applyFont="1" applyBorder="1" applyAlignment="1">
      <alignment horizontal="center"/>
    </xf>
    <xf numFmtId="10" fontId="19" fillId="0" borderId="6" xfId="4" applyNumberFormat="1" applyFont="1" applyBorder="1" applyAlignment="1">
      <alignment horizontal="center"/>
    </xf>
    <xf numFmtId="0" fontId="0" fillId="0" borderId="1" xfId="0" applyBorder="1"/>
    <xf numFmtId="0" fontId="3" fillId="0" borderId="1" xfId="0" applyFont="1" applyBorder="1" applyAlignment="1">
      <alignment horizontal="center"/>
    </xf>
    <xf numFmtId="10" fontId="0" fillId="0" borderId="0" xfId="4" applyNumberFormat="1" applyFont="1" applyAlignment="1">
      <alignment horizontal="center"/>
    </xf>
    <xf numFmtId="2" fontId="1" fillId="5" borderId="1" xfId="0" applyNumberFormat="1" applyFont="1" applyFill="1" applyBorder="1" applyAlignment="1">
      <alignment horizontal="center"/>
    </xf>
    <xf numFmtId="10" fontId="1" fillId="5" borderId="1" xfId="0" applyNumberFormat="1" applyFont="1" applyFill="1" applyBorder="1" applyAlignment="1">
      <alignment horizontal="center"/>
    </xf>
    <xf numFmtId="10" fontId="3" fillId="5" borderId="1" xfId="0" applyNumberFormat="1" applyFont="1" applyFill="1" applyBorder="1" applyAlignment="1">
      <alignment horizontal="center"/>
    </xf>
    <xf numFmtId="0" fontId="1" fillId="5" borderId="1" xfId="0" applyFont="1" applyFill="1" applyBorder="1" applyAlignment="1">
      <alignment horizontal="center"/>
    </xf>
    <xf numFmtId="10" fontId="0" fillId="6" borderId="2" xfId="0" applyNumberFormat="1" applyFill="1" applyBorder="1"/>
    <xf numFmtId="2" fontId="6" fillId="7" borderId="1" xfId="0" applyNumberFormat="1" applyFont="1" applyFill="1" applyBorder="1" applyAlignment="1">
      <alignment horizontal="center"/>
    </xf>
    <xf numFmtId="2" fontId="6" fillId="0" borderId="0" xfId="0" applyNumberFormat="1" applyFont="1" applyAlignment="1">
      <alignment horizontal="center"/>
    </xf>
    <xf numFmtId="10" fontId="23" fillId="2" borderId="1" xfId="0" applyNumberFormat="1" applyFont="1" applyFill="1" applyBorder="1" applyAlignment="1">
      <alignment horizontal="center"/>
    </xf>
    <xf numFmtId="10" fontId="23" fillId="2" borderId="1" xfId="0" applyNumberFormat="1" applyFont="1" applyFill="1" applyBorder="1"/>
    <xf numFmtId="0" fontId="23" fillId="2" borderId="1" xfId="0" applyFont="1" applyFill="1" applyBorder="1"/>
    <xf numFmtId="0" fontId="14" fillId="0" borderId="0" xfId="0" applyFont="1" applyAlignment="1">
      <alignment vertical="top" wrapText="1"/>
    </xf>
    <xf numFmtId="0" fontId="24" fillId="0" borderId="0" xfId="0" applyFont="1"/>
    <xf numFmtId="0" fontId="19" fillId="0" borderId="1" xfId="0" applyFont="1" applyBorder="1"/>
    <xf numFmtId="10" fontId="19" fillId="2" borderId="1" xfId="0" applyNumberFormat="1" applyFont="1" applyFill="1" applyBorder="1"/>
    <xf numFmtId="10" fontId="0" fillId="0" borderId="0" xfId="0" applyNumberFormat="1" applyAlignment="1">
      <alignment horizontal="center"/>
    </xf>
    <xf numFmtId="10" fontId="23" fillId="7" borderId="1" xfId="4" applyNumberFormat="1" applyFont="1" applyFill="1" applyBorder="1"/>
    <xf numFmtId="2" fontId="6" fillId="2" borderId="1" xfId="0" applyNumberFormat="1" applyFont="1" applyFill="1" applyBorder="1" applyAlignment="1">
      <alignment horizontal="center"/>
    </xf>
    <xf numFmtId="0" fontId="25" fillId="0" borderId="1" xfId="0" applyFont="1" applyBorder="1"/>
    <xf numFmtId="0" fontId="27" fillId="0" borderId="0" xfId="0" applyFont="1"/>
    <xf numFmtId="10" fontId="18" fillId="8" borderId="1" xfId="0" applyNumberFormat="1" applyFont="1" applyFill="1" applyBorder="1" applyAlignment="1">
      <alignment horizontal="center"/>
    </xf>
    <xf numFmtId="10" fontId="26" fillId="8" borderId="1" xfId="0" applyNumberFormat="1" applyFont="1" applyFill="1" applyBorder="1" applyAlignment="1">
      <alignment horizontal="center"/>
    </xf>
    <xf numFmtId="10" fontId="1" fillId="0" borderId="1" xfId="4" applyNumberFormat="1" applyFont="1" applyFill="1" applyBorder="1" applyAlignment="1">
      <alignment horizontal="center"/>
    </xf>
    <xf numFmtId="10" fontId="1" fillId="0" borderId="1" xfId="0" applyNumberFormat="1" applyFont="1" applyBorder="1" applyAlignment="1">
      <alignment horizontal="center"/>
    </xf>
    <xf numFmtId="0" fontId="1" fillId="0" borderId="1" xfId="0" applyFont="1" applyBorder="1" applyAlignment="1">
      <alignment horizontal="center"/>
    </xf>
    <xf numFmtId="0" fontId="0" fillId="5" borderId="1" xfId="0" applyFill="1" applyBorder="1" applyAlignment="1">
      <alignment horizontal="left"/>
    </xf>
    <xf numFmtId="10" fontId="1" fillId="5" borderId="1" xfId="4" applyNumberFormat="1" applyFont="1" applyFill="1" applyBorder="1" applyAlignment="1">
      <alignment horizontal="center"/>
    </xf>
    <xf numFmtId="10" fontId="1" fillId="5" borderId="0" xfId="0" applyNumberFormat="1" applyFont="1" applyFill="1" applyAlignment="1">
      <alignment horizontal="center"/>
    </xf>
    <xf numFmtId="2" fontId="1" fillId="5" borderId="0" xfId="0" applyNumberFormat="1" applyFont="1" applyFill="1" applyAlignment="1">
      <alignment horizontal="center"/>
    </xf>
    <xf numFmtId="0" fontId="4" fillId="0" borderId="0" xfId="0" applyFont="1" applyAlignment="1">
      <alignment horizontal="center"/>
    </xf>
    <xf numFmtId="0" fontId="2" fillId="0" borderId="0" xfId="0" applyFont="1" applyAlignment="1">
      <alignment horizontal="left"/>
    </xf>
    <xf numFmtId="10" fontId="23" fillId="7" borderId="1" xfId="0" applyNumberFormat="1" applyFont="1" applyFill="1" applyBorder="1"/>
    <xf numFmtId="10" fontId="6" fillId="2" borderId="1" xfId="0" applyNumberFormat="1" applyFont="1" applyFill="1" applyBorder="1" applyAlignment="1">
      <alignment horizontal="center"/>
    </xf>
    <xf numFmtId="10" fontId="23" fillId="0" borderId="1" xfId="0" applyNumberFormat="1" applyFont="1" applyBorder="1"/>
    <xf numFmtId="10" fontId="30" fillId="2" borderId="1" xfId="0" applyNumberFormat="1" applyFont="1" applyFill="1" applyBorder="1" applyAlignment="1">
      <alignment horizontal="center"/>
    </xf>
    <xf numFmtId="0" fontId="2" fillId="0" borderId="0" xfId="0" applyFont="1"/>
    <xf numFmtId="0" fontId="0" fillId="7" borderId="1" xfId="0" applyFill="1" applyBorder="1"/>
    <xf numFmtId="2" fontId="0" fillId="0" borderId="1" xfId="0" applyNumberFormat="1" applyBorder="1"/>
    <xf numFmtId="2" fontId="0" fillId="0" borderId="0" xfId="0" applyNumberFormat="1"/>
    <xf numFmtId="0" fontId="0" fillId="2" borderId="6" xfId="0" applyFill="1" applyBorder="1"/>
    <xf numFmtId="166" fontId="0" fillId="0" borderId="0" xfId="0" applyNumberFormat="1"/>
    <xf numFmtId="0" fontId="31" fillId="0" borderId="0" xfId="0" applyFont="1"/>
    <xf numFmtId="0" fontId="32" fillId="0" borderId="0" xfId="0" applyFont="1"/>
    <xf numFmtId="2" fontId="31" fillId="0" borderId="0" xfId="0" applyNumberFormat="1" applyFont="1" applyAlignment="1">
      <alignment horizontal="center"/>
    </xf>
    <xf numFmtId="0" fontId="12" fillId="0" borderId="0" xfId="0" applyFont="1" applyAlignment="1">
      <alignment horizontal="center"/>
    </xf>
    <xf numFmtId="164" fontId="33" fillId="0" borderId="0" xfId="0" applyNumberFormat="1" applyFont="1" applyAlignment="1">
      <alignment horizontal="center"/>
    </xf>
    <xf numFmtId="164" fontId="34" fillId="0" borderId="0" xfId="0" applyNumberFormat="1" applyFont="1" applyAlignment="1">
      <alignment horizontal="center"/>
    </xf>
    <xf numFmtId="44" fontId="17" fillId="0" borderId="1" xfId="2" applyFont="1" applyBorder="1" applyAlignment="1">
      <alignment horizontal="center"/>
    </xf>
    <xf numFmtId="0" fontId="17" fillId="0" borderId="5" xfId="0" applyFont="1" applyBorder="1" applyAlignment="1">
      <alignment horizontal="center"/>
    </xf>
    <xf numFmtId="0" fontId="17" fillId="0" borderId="0" xfId="0" applyFont="1" applyAlignment="1">
      <alignment horizontal="center"/>
    </xf>
    <xf numFmtId="0" fontId="17" fillId="0" borderId="6" xfId="0" applyFont="1" applyBorder="1" applyAlignment="1">
      <alignment horizontal="center"/>
    </xf>
    <xf numFmtId="0" fontId="31" fillId="0" borderId="0" xfId="0" applyFont="1" applyAlignment="1">
      <alignment horizontal="center"/>
    </xf>
    <xf numFmtId="2" fontId="31" fillId="0" borderId="0" xfId="0" applyNumberFormat="1" applyFont="1"/>
    <xf numFmtId="8" fontId="0" fillId="0" borderId="1" xfId="0" applyNumberFormat="1" applyBorder="1" applyAlignment="1">
      <alignment horizontal="center"/>
    </xf>
    <xf numFmtId="8" fontId="0" fillId="0" borderId="1" xfId="0" applyNumberFormat="1" applyBorder="1"/>
    <xf numFmtId="10" fontId="35" fillId="9" borderId="19" xfId="0" applyNumberFormat="1" applyFont="1" applyFill="1" applyBorder="1" applyAlignment="1">
      <alignment horizontal="center"/>
    </xf>
    <xf numFmtId="10" fontId="7" fillId="0" borderId="0" xfId="4" applyNumberFormat="1" applyFont="1"/>
    <xf numFmtId="0" fontId="0" fillId="0" borderId="20" xfId="0" applyBorder="1"/>
    <xf numFmtId="1" fontId="6" fillId="0" borderId="6" xfId="1" applyNumberFormat="1" applyFont="1" applyBorder="1" applyAlignment="1">
      <alignment horizontal="center"/>
    </xf>
    <xf numFmtId="0" fontId="15" fillId="0" borderId="6" xfId="0" applyFont="1" applyBorder="1" applyAlignment="1">
      <alignment horizontal="center"/>
    </xf>
    <xf numFmtId="43" fontId="36" fillId="9" borderId="19" xfId="1" applyFont="1" applyFill="1" applyBorder="1" applyAlignment="1">
      <alignment horizontal="center"/>
    </xf>
    <xf numFmtId="2" fontId="36" fillId="9" borderId="19" xfId="0" applyNumberFormat="1" applyFont="1" applyFill="1" applyBorder="1" applyAlignment="1">
      <alignment horizontal="center"/>
    </xf>
    <xf numFmtId="10" fontId="36" fillId="9" borderId="19" xfId="4" applyNumberFormat="1" applyFont="1" applyFill="1" applyBorder="1" applyAlignment="1">
      <alignment horizontal="center"/>
    </xf>
    <xf numFmtId="164" fontId="36" fillId="9" borderId="19" xfId="2" applyNumberFormat="1" applyFont="1" applyFill="1" applyBorder="1" applyAlignment="1">
      <alignment horizontal="center"/>
    </xf>
    <xf numFmtId="44" fontId="36" fillId="9" borderId="19" xfId="2" applyFont="1" applyFill="1" applyBorder="1" applyAlignment="1">
      <alignment horizontal="center"/>
    </xf>
    <xf numFmtId="0" fontId="38" fillId="9" borderId="19" xfId="0" applyFont="1" applyFill="1" applyBorder="1" applyAlignment="1">
      <alignment horizontal="center"/>
    </xf>
    <xf numFmtId="10" fontId="36" fillId="9" borderId="19" xfId="0" applyNumberFormat="1" applyFont="1" applyFill="1" applyBorder="1" applyAlignment="1">
      <alignment horizontal="center"/>
    </xf>
    <xf numFmtId="1" fontId="6" fillId="0" borderId="13" xfId="1" applyNumberFormat="1" applyFont="1" applyBorder="1" applyAlignment="1">
      <alignment horizontal="center"/>
    </xf>
    <xf numFmtId="43" fontId="36" fillId="9" borderId="21" xfId="1" applyFont="1" applyFill="1" applyBorder="1" applyAlignment="1">
      <alignment horizontal="center"/>
    </xf>
    <xf numFmtId="10" fontId="36" fillId="9" borderId="21" xfId="4" applyNumberFormat="1" applyFont="1" applyFill="1" applyBorder="1" applyAlignment="1">
      <alignment horizontal="center"/>
    </xf>
    <xf numFmtId="164" fontId="36" fillId="9" borderId="21" xfId="2" applyNumberFormat="1" applyFont="1" applyFill="1" applyBorder="1" applyAlignment="1">
      <alignment horizontal="center"/>
    </xf>
    <xf numFmtId="44" fontId="36" fillId="9" borderId="21" xfId="2" applyFont="1" applyFill="1" applyBorder="1" applyAlignment="1">
      <alignment horizontal="center"/>
    </xf>
    <xf numFmtId="10" fontId="36" fillId="9" borderId="21" xfId="0" applyNumberFormat="1" applyFont="1" applyFill="1" applyBorder="1" applyAlignment="1">
      <alignment horizontal="center"/>
    </xf>
    <xf numFmtId="0" fontId="7" fillId="0" borderId="20" xfId="0" applyFont="1" applyBorder="1"/>
    <xf numFmtId="1" fontId="6" fillId="0" borderId="19" xfId="0" applyNumberFormat="1" applyFont="1" applyBorder="1" applyAlignment="1">
      <alignment horizontal="center"/>
    </xf>
    <xf numFmtId="164" fontId="36" fillId="9" borderId="19" xfId="0" applyNumberFormat="1" applyFont="1" applyFill="1" applyBorder="1" applyAlignment="1">
      <alignment horizontal="center"/>
    </xf>
    <xf numFmtId="0" fontId="36" fillId="9" borderId="19" xfId="0" applyFont="1" applyFill="1" applyBorder="1" applyAlignment="1">
      <alignment horizontal="center"/>
    </xf>
    <xf numFmtId="2" fontId="36" fillId="9" borderId="19" xfId="2" applyNumberFormat="1" applyFont="1" applyFill="1" applyBorder="1" applyAlignment="1">
      <alignment horizontal="center"/>
    </xf>
    <xf numFmtId="0" fontId="37" fillId="9" borderId="19" xfId="0" applyFont="1" applyFill="1" applyBorder="1" applyAlignment="1">
      <alignment horizontal="center"/>
    </xf>
    <xf numFmtId="10" fontId="37" fillId="9" borderId="19" xfId="4" applyNumberFormat="1" applyFont="1" applyFill="1" applyBorder="1" applyAlignment="1">
      <alignment horizontal="center"/>
    </xf>
    <xf numFmtId="0" fontId="36" fillId="9" borderId="19" xfId="0" applyFont="1" applyFill="1" applyBorder="1"/>
    <xf numFmtId="164" fontId="36" fillId="0" borderId="19" xfId="0" applyNumberFormat="1" applyFont="1" applyBorder="1"/>
    <xf numFmtId="44" fontId="17" fillId="0" borderId="7" xfId="2" applyFont="1" applyBorder="1" applyAlignment="1">
      <alignment horizontal="center"/>
    </xf>
    <xf numFmtId="10" fontId="17" fillId="0" borderId="3" xfId="2" applyNumberFormat="1" applyFont="1" applyBorder="1" applyAlignment="1">
      <alignment horizontal="center"/>
    </xf>
    <xf numFmtId="10" fontId="17" fillId="0" borderId="12" xfId="2" applyNumberFormat="1" applyFont="1" applyBorder="1" applyAlignment="1">
      <alignment horizontal="center"/>
    </xf>
    <xf numFmtId="44" fontId="17" fillId="0" borderId="13" xfId="2" applyFont="1" applyBorder="1" applyAlignment="1">
      <alignment horizontal="center"/>
    </xf>
    <xf numFmtId="10" fontId="17" fillId="0" borderId="1" xfId="2" applyNumberFormat="1" applyFont="1" applyBorder="1" applyAlignment="1">
      <alignment horizontal="center"/>
    </xf>
    <xf numFmtId="10" fontId="17" fillId="0" borderId="5" xfId="2" applyNumberFormat="1" applyFont="1" applyBorder="1" applyAlignment="1">
      <alignment horizontal="center"/>
    </xf>
    <xf numFmtId="44" fontId="17" fillId="0" borderId="22" xfId="2" applyFont="1" applyBorder="1" applyAlignment="1">
      <alignment horizontal="center"/>
    </xf>
    <xf numFmtId="0" fontId="17" fillId="0" borderId="10" xfId="0" applyFont="1" applyBorder="1" applyAlignment="1">
      <alignment horizontal="center"/>
    </xf>
    <xf numFmtId="10" fontId="17" fillId="0" borderId="6" xfId="2" applyNumberFormat="1" applyFont="1" applyBorder="1" applyAlignment="1">
      <alignment horizontal="center"/>
    </xf>
    <xf numFmtId="10" fontId="17" fillId="0" borderId="10" xfId="2" applyNumberFormat="1" applyFont="1" applyBorder="1" applyAlignment="1">
      <alignment horizontal="center"/>
    </xf>
    <xf numFmtId="0" fontId="14" fillId="6" borderId="8" xfId="0" applyFont="1" applyFill="1" applyBorder="1" applyAlignment="1">
      <alignment horizontal="center"/>
    </xf>
    <xf numFmtId="0" fontId="14" fillId="6" borderId="14" xfId="0" applyFont="1" applyFill="1" applyBorder="1" applyAlignment="1">
      <alignment horizontal="center"/>
    </xf>
    <xf numFmtId="0" fontId="14" fillId="6" borderId="15" xfId="0" applyFont="1" applyFill="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18" xfId="0" applyFont="1" applyFill="1" applyBorder="1" applyAlignment="1">
      <alignment horizontal="center"/>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0" fillId="0" borderId="0" xfId="0" applyAlignment="1">
      <alignment horizontal="center"/>
    </xf>
    <xf numFmtId="0" fontId="22" fillId="0" borderId="0" xfId="0" applyFont="1" applyAlignment="1">
      <alignment horizontal="center"/>
    </xf>
    <xf numFmtId="0" fontId="12" fillId="0" borderId="0" xfId="0" applyFont="1" applyAlignment="1">
      <alignment horizontal="center"/>
    </xf>
    <xf numFmtId="0" fontId="3" fillId="0" borderId="0" xfId="0" applyFont="1" applyAlignment="1">
      <alignment horizontal="left" wrapText="1"/>
    </xf>
  </cellXfs>
  <cellStyles count="11">
    <cellStyle name="Comma" xfId="1"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3" builtinId="8"/>
    <cellStyle name="Normal" xfId="0" builtinId="0"/>
    <cellStyle name="Percent" xfId="4" builtinId="5"/>
  </cellStyles>
  <dxfs count="15">
    <dxf>
      <font>
        <b val="0"/>
        <i val="0"/>
        <strike val="0"/>
        <condense val="0"/>
        <extend val="0"/>
        <outline val="0"/>
        <shadow val="0"/>
        <u val="none"/>
        <vertAlign val="baseline"/>
        <sz val="10"/>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auto="1"/>
        <name val="Calibri"/>
        <family val="2"/>
        <scheme val="minor"/>
      </font>
      <alignment horizontal="center" vertical="bottom" textRotation="0" wrapText="0" indent="0" justifyLastLine="0" shrinkToFit="0" readingOrder="0"/>
      <border diagonalUp="0" diagonalDown="0">
        <left/>
        <right style="thin">
          <color auto="1"/>
        </right>
        <top style="thin">
          <color auto="1"/>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698500</xdr:colOff>
      <xdr:row>22</xdr:row>
      <xdr:rowOff>0</xdr:rowOff>
    </xdr:from>
    <xdr:to>
      <xdr:col>7</xdr:col>
      <xdr:colOff>876300</xdr:colOff>
      <xdr:row>23</xdr:row>
      <xdr:rowOff>154940</xdr:rowOff>
    </xdr:to>
    <xdr:sp macro="" textlink="">
      <xdr:nvSpPr>
        <xdr:cNvPr id="1680" name="Rectangle 1">
          <a:extLst>
            <a:ext uri="{FF2B5EF4-FFF2-40B4-BE49-F238E27FC236}">
              <a16:creationId xmlns:a16="http://schemas.microsoft.com/office/drawing/2014/main" id="{3C977FC5-F8BC-B941-AC5F-A533DCEFEEAE}"/>
            </a:ext>
          </a:extLst>
        </xdr:cNvPr>
        <xdr:cNvSpPr>
          <a:spLocks noChangeArrowheads="1"/>
        </xdr:cNvSpPr>
      </xdr:nvSpPr>
      <xdr:spPr bwMode="auto">
        <a:xfrm>
          <a:off x="12115800" y="4864100"/>
          <a:ext cx="177800" cy="406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17</xdr:row>
      <xdr:rowOff>152400</xdr:rowOff>
    </xdr:from>
    <xdr:to>
      <xdr:col>5</xdr:col>
      <xdr:colOff>76200</xdr:colOff>
      <xdr:row>64</xdr:row>
      <xdr:rowOff>165100</xdr:rowOff>
    </xdr:to>
    <xdr:pic>
      <xdr:nvPicPr>
        <xdr:cNvPr id="6" name="Picture 5">
          <a:extLst>
            <a:ext uri="{FF2B5EF4-FFF2-40B4-BE49-F238E27FC236}">
              <a16:creationId xmlns:a16="http://schemas.microsoft.com/office/drawing/2014/main" id="{97CF86A2-39E2-A848-B66D-5A5D24E2933F}"/>
            </a:ext>
          </a:extLst>
        </xdr:cNvPr>
        <xdr:cNvPicPr>
          <a:picLocks noChangeAspect="1"/>
        </xdr:cNvPicPr>
      </xdr:nvPicPr>
      <xdr:blipFill>
        <a:blip xmlns:r="http://schemas.openxmlformats.org/officeDocument/2006/relationships" r:embed="rId1"/>
        <a:stretch>
          <a:fillRect/>
        </a:stretch>
      </xdr:blipFill>
      <xdr:spPr>
        <a:xfrm>
          <a:off x="38100" y="3225800"/>
          <a:ext cx="7048500" cy="8940800"/>
        </a:xfrm>
        <a:prstGeom prst="rect">
          <a:avLst/>
        </a:prstGeom>
      </xdr:spPr>
    </xdr:pic>
    <xdr:clientData/>
  </xdr:twoCellAnchor>
  <xdr:twoCellAnchor editAs="oneCell">
    <xdr:from>
      <xdr:col>11</xdr:col>
      <xdr:colOff>889000</xdr:colOff>
      <xdr:row>14</xdr:row>
      <xdr:rowOff>25400</xdr:rowOff>
    </xdr:from>
    <xdr:to>
      <xdr:col>19</xdr:col>
      <xdr:colOff>228600</xdr:colOff>
      <xdr:row>38</xdr:row>
      <xdr:rowOff>7572</xdr:rowOff>
    </xdr:to>
    <xdr:pic>
      <xdr:nvPicPr>
        <xdr:cNvPr id="3" name="Picture 2">
          <a:extLst>
            <a:ext uri="{FF2B5EF4-FFF2-40B4-BE49-F238E27FC236}">
              <a16:creationId xmlns:a16="http://schemas.microsoft.com/office/drawing/2014/main" id="{5D245613-D479-ED42-9190-6D5F493E1962}"/>
            </a:ext>
          </a:extLst>
        </xdr:cNvPr>
        <xdr:cNvPicPr>
          <a:picLocks noChangeAspect="1"/>
        </xdr:cNvPicPr>
      </xdr:nvPicPr>
      <xdr:blipFill>
        <a:blip xmlns:r="http://schemas.openxmlformats.org/officeDocument/2006/relationships" r:embed="rId2"/>
        <a:stretch>
          <a:fillRect/>
        </a:stretch>
      </xdr:blipFill>
      <xdr:spPr>
        <a:xfrm>
          <a:off x="17145000" y="2565400"/>
          <a:ext cx="7772400" cy="4808172"/>
        </a:xfrm>
        <a:prstGeom prst="rect">
          <a:avLst/>
        </a:prstGeom>
      </xdr:spPr>
    </xdr:pic>
    <xdr:clientData/>
  </xdr:twoCellAnchor>
  <xdr:twoCellAnchor editAs="oneCell">
    <xdr:from>
      <xdr:col>0</xdr:col>
      <xdr:colOff>508000</xdr:colOff>
      <xdr:row>18</xdr:row>
      <xdr:rowOff>88900</xdr:rowOff>
    </xdr:from>
    <xdr:to>
      <xdr:col>4</xdr:col>
      <xdr:colOff>749300</xdr:colOff>
      <xdr:row>60</xdr:row>
      <xdr:rowOff>63500</xdr:rowOff>
    </xdr:to>
    <xdr:pic>
      <xdr:nvPicPr>
        <xdr:cNvPr id="4" name="Picture 3">
          <a:extLst>
            <a:ext uri="{FF2B5EF4-FFF2-40B4-BE49-F238E27FC236}">
              <a16:creationId xmlns:a16="http://schemas.microsoft.com/office/drawing/2014/main" id="{6206C2CD-9287-3749-86EE-6CEFEA803E45}"/>
            </a:ext>
          </a:extLst>
        </xdr:cNvPr>
        <xdr:cNvPicPr>
          <a:picLocks noChangeAspect="1"/>
        </xdr:cNvPicPr>
      </xdr:nvPicPr>
      <xdr:blipFill>
        <a:blip xmlns:r="http://schemas.openxmlformats.org/officeDocument/2006/relationships" r:embed="rId3"/>
        <a:stretch>
          <a:fillRect/>
        </a:stretch>
      </xdr:blipFill>
      <xdr:spPr>
        <a:xfrm>
          <a:off x="508000" y="3340100"/>
          <a:ext cx="6299200" cy="8051800"/>
        </a:xfrm>
        <a:prstGeom prst="rect">
          <a:avLst/>
        </a:prstGeom>
      </xdr:spPr>
    </xdr:pic>
    <xdr:clientData/>
  </xdr:twoCellAnchor>
  <xdr:twoCellAnchor editAs="oneCell">
    <xdr:from>
      <xdr:col>11</xdr:col>
      <xdr:colOff>889000</xdr:colOff>
      <xdr:row>14</xdr:row>
      <xdr:rowOff>25400</xdr:rowOff>
    </xdr:from>
    <xdr:to>
      <xdr:col>19</xdr:col>
      <xdr:colOff>228600</xdr:colOff>
      <xdr:row>38</xdr:row>
      <xdr:rowOff>198072</xdr:rowOff>
    </xdr:to>
    <xdr:pic>
      <xdr:nvPicPr>
        <xdr:cNvPr id="5" name="Picture 4">
          <a:extLst>
            <a:ext uri="{FF2B5EF4-FFF2-40B4-BE49-F238E27FC236}">
              <a16:creationId xmlns:a16="http://schemas.microsoft.com/office/drawing/2014/main" id="{49B15DCF-2838-094A-9644-AF72C5DBDF34}"/>
            </a:ext>
          </a:extLst>
        </xdr:cNvPr>
        <xdr:cNvPicPr>
          <a:picLocks noChangeAspect="1"/>
        </xdr:cNvPicPr>
      </xdr:nvPicPr>
      <xdr:blipFill>
        <a:blip xmlns:r="http://schemas.openxmlformats.org/officeDocument/2006/relationships" r:embed="rId2"/>
        <a:stretch>
          <a:fillRect/>
        </a:stretch>
      </xdr:blipFill>
      <xdr:spPr>
        <a:xfrm>
          <a:off x="17145000" y="2565400"/>
          <a:ext cx="7772400" cy="4808172"/>
        </a:xfrm>
        <a:prstGeom prst="rect">
          <a:avLst/>
        </a:prstGeom>
      </xdr:spPr>
    </xdr:pic>
    <xdr:clientData/>
  </xdr:twoCellAnchor>
  <xdr:twoCellAnchor editAs="oneCell">
    <xdr:from>
      <xdr:col>0</xdr:col>
      <xdr:colOff>520700</xdr:colOff>
      <xdr:row>18</xdr:row>
      <xdr:rowOff>38100</xdr:rowOff>
    </xdr:from>
    <xdr:to>
      <xdr:col>4</xdr:col>
      <xdr:colOff>230823</xdr:colOff>
      <xdr:row>62</xdr:row>
      <xdr:rowOff>101600</xdr:rowOff>
    </xdr:to>
    <xdr:pic>
      <xdr:nvPicPr>
        <xdr:cNvPr id="7" name="Picture 6">
          <a:extLst>
            <a:ext uri="{FF2B5EF4-FFF2-40B4-BE49-F238E27FC236}">
              <a16:creationId xmlns:a16="http://schemas.microsoft.com/office/drawing/2014/main" id="{D4FC5E8C-5BF2-D04A-9643-F2CCDAFA198D}"/>
            </a:ext>
          </a:extLst>
        </xdr:cNvPr>
        <xdr:cNvPicPr>
          <a:picLocks noChangeAspect="1"/>
        </xdr:cNvPicPr>
      </xdr:nvPicPr>
      <xdr:blipFill>
        <a:blip xmlns:r="http://schemas.openxmlformats.org/officeDocument/2006/relationships" r:embed="rId4"/>
        <a:stretch>
          <a:fillRect/>
        </a:stretch>
      </xdr:blipFill>
      <xdr:spPr>
        <a:xfrm>
          <a:off x="520700" y="3289300"/>
          <a:ext cx="5768023" cy="8458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wath Damodaran" id="{4DFB6B62-2B7F-1C4E-A36B-B6ED6488607D}" userId="589fc2f8758a430e"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801920-C4A6-9A42-8D60-63217DF98704}" name="List1" displayName="List1" ref="A1:I28" totalsRowShown="0" headerRowDxfId="14">
  <autoFilter ref="A1:I28" xr:uid="{FB801920-C4A6-9A42-8D60-63217DF98704}"/>
  <tableColumns count="9">
    <tableColumn id="1" xr3:uid="{D3385620-9E63-8149-9582-5E3BFF465F67}" name="Year"/>
    <tableColumn id="2" xr3:uid="{B603BADC-A45B-084A-9262-3CE1EEF02D42}" name="Dividend Yield"/>
    <tableColumn id="3" xr3:uid="{010667BD-B504-AA4A-A2E3-4E7859AC2D01}" name="Buybacks/Index"/>
    <tableColumn id="4" xr3:uid="{B8832192-C34E-9C4A-8584-236EAB13F712}" name="Gross Cash Yield"/>
    <tableColumn id="7" xr3:uid="{3A183114-82B0-374C-A355-4C7A0A8C9B1C}" name="Payout" dataDxfId="13"/>
    <tableColumn id="8" xr3:uid="{0AD6EB21-C166-E946-91C4-808862D98518}" name="Return on Equity" dataDxfId="12"/>
    <tableColumn id="9" xr3:uid="{956BD88D-FF2C-F64A-9F6C-50B4A70AFF6D}" name="Net Profit Margin" dataDxfId="11"/>
    <tableColumn id="10" xr3:uid="{053B1700-3BB9-F946-AA33-738DB26B6999}" name="Column1" dataDxfId="10"/>
    <tableColumn id="5" xr3:uid="{D8523CEE-8769-3243-B24A-D92874F0DF90}" name="Column2"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57D5C-4108-4741-9B0F-5F04DB4EE6BD}" name="Table1684" displayName="Table1684" ref="A1:E66" totalsRowShown="0" headerRowDxfId="8" headerRowBorderDxfId="7" tableBorderDxfId="6" totalsRowBorderDxfId="5">
  <autoFilter ref="A1:E66" xr:uid="{6A2C119F-BA2C-684C-9323-404C89804939}"/>
  <tableColumns count="5">
    <tableColumn id="1" xr3:uid="{FE1FDDBA-8EF0-D844-8EDE-07713D782A78}" name="Year" dataDxfId="4"/>
    <tableColumn id="2" xr3:uid="{16F56E8E-E17E-F840-B079-3C4049A9ACAB}" name="Earnings Yield" dataDxfId="3"/>
    <tableColumn id="3" xr3:uid="{7C6F73E4-D00C-2845-AD31-9AC87DC06A3B}" name="Dividend Yield" dataDxfId="2" dataCellStyle="Percent"/>
    <tableColumn id="4" xr3:uid="{B5D1F174-949D-6B43-8C3B-28F5F669B4AC}" name="T.Bond Rate" dataDxfId="1"/>
    <tableColumn id="5" xr3:uid="{9050FF1C-0CF0-764D-8C61-A7428A6FD571}" name="Implied ERP"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 dT="2020-06-01T17:50:56.12" personId="{4DFB6B62-2B7F-1C4E-A36B-B6ED6488607D}" id="{7DBAEAD6-0AB8-1B4F-A31A-3ECC568B1F5A}">
    <text>Check earnings and growth worksheet for estimates of earnings for 2021 and 2022.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hyperlink" Target="http://us.spindices.com/indices/equity/sp-500" TargetMode="External"/><Relationship Id="rId7" Type="http://schemas.openxmlformats.org/officeDocument/2006/relationships/comments" Target="../comments2.xml"/><Relationship Id="rId2" Type="http://schemas.openxmlformats.org/officeDocument/2006/relationships/hyperlink" Target="http://www.trpropresearch.com/" TargetMode="External"/><Relationship Id="rId1" Type="http://schemas.openxmlformats.org/officeDocument/2006/relationships/hyperlink" Target="http://www.factset.com/websitefiles/PDFs/earningsinsight/earningsinsight_12.19.14"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hyperlink" Target="https://www.yardeni.com/"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abSelected="1" zoomScale="125" workbookViewId="0">
      <selection activeCell="G8" sqref="G8"/>
    </sheetView>
  </sheetViews>
  <sheetFormatPr baseColWidth="10" defaultRowHeight="14"/>
  <cols>
    <col min="1" max="1" width="54.140625" bestFit="1" customWidth="1"/>
    <col min="2" max="2" width="22.28515625" customWidth="1"/>
    <col min="3" max="5" width="12.5703125" customWidth="1"/>
    <col min="6" max="6" width="18" customWidth="1"/>
    <col min="7" max="7" width="9.42578125" customWidth="1"/>
    <col min="8" max="8" width="17.140625" customWidth="1"/>
  </cols>
  <sheetData>
    <row r="1" spans="1:13" s="1" customFormat="1" ht="33" thickBot="1">
      <c r="A1" s="180" t="s">
        <v>83</v>
      </c>
      <c r="B1" s="181"/>
      <c r="C1" s="181"/>
      <c r="D1" s="181"/>
      <c r="E1" s="181"/>
      <c r="F1" s="181"/>
      <c r="G1" s="181"/>
      <c r="H1" s="181"/>
      <c r="I1" s="182"/>
      <c r="J1" s="99"/>
      <c r="M1" s="41"/>
    </row>
    <row r="2" spans="1:13" s="38" customFormat="1" ht="21" customHeight="1">
      <c r="A2" s="4" t="s">
        <v>33</v>
      </c>
      <c r="B2" s="99"/>
      <c r="C2" s="99"/>
      <c r="D2" s="99"/>
      <c r="E2" s="99"/>
      <c r="F2" s="99"/>
      <c r="G2" s="99"/>
      <c r="H2" s="99"/>
      <c r="I2" s="99"/>
      <c r="J2" s="99"/>
    </row>
    <row r="3" spans="1:13" s="4" customFormat="1">
      <c r="A3" s="3" t="s">
        <v>22</v>
      </c>
      <c r="B3" s="98">
        <v>5881.63</v>
      </c>
      <c r="D3" s="72"/>
      <c r="E3" t="s">
        <v>118</v>
      </c>
      <c r="F3"/>
      <c r="G3"/>
      <c r="H3"/>
    </row>
    <row r="4" spans="1:13" s="4" customFormat="1">
      <c r="A4" s="183" t="s">
        <v>86</v>
      </c>
      <c r="B4" s="184"/>
      <c r="C4"/>
      <c r="D4" s="124"/>
      <c r="E4" t="s">
        <v>119</v>
      </c>
      <c r="F4"/>
      <c r="G4"/>
      <c r="H4"/>
    </row>
    <row r="5" spans="1:13" s="4" customFormat="1">
      <c r="A5" s="3" t="s">
        <v>34</v>
      </c>
      <c r="B5" s="97">
        <v>4.58E-2</v>
      </c>
      <c r="D5" t="s">
        <v>85</v>
      </c>
      <c r="E5"/>
      <c r="F5"/>
      <c r="G5"/>
      <c r="H5"/>
    </row>
    <row r="6" spans="1:13" s="4" customFormat="1">
      <c r="A6" s="3" t="s">
        <v>84</v>
      </c>
      <c r="B6" s="96" t="s">
        <v>71</v>
      </c>
      <c r="D6" s="3" t="s">
        <v>36</v>
      </c>
      <c r="E6" s="86"/>
      <c r="F6" s="3" t="s">
        <v>42</v>
      </c>
      <c r="G6" s="108">
        <f>AVERAGE('Implied ERP- Annual since 1960'!E57:E66)</f>
        <v>5.1879999999999996E-2</v>
      </c>
      <c r="H6"/>
      <c r="I6"/>
    </row>
    <row r="7" spans="1:13" s="4" customFormat="1">
      <c r="A7" s="3" t="s">
        <v>87</v>
      </c>
      <c r="B7" s="97">
        <v>0.03</v>
      </c>
      <c r="D7" s="3" t="s">
        <v>102</v>
      </c>
      <c r="E7" s="86"/>
      <c r="F7" s="106" t="s">
        <v>89</v>
      </c>
      <c r="G7" s="122">
        <v>4.4999999999999998E-2</v>
      </c>
      <c r="H7" s="123" t="s">
        <v>117</v>
      </c>
      <c r="I7"/>
    </row>
    <row r="8" spans="1:13" s="4" customFormat="1">
      <c r="A8" s="3" t="s">
        <v>108</v>
      </c>
      <c r="B8" s="120" t="s">
        <v>110</v>
      </c>
      <c r="D8" s="3" t="s">
        <v>52</v>
      </c>
      <c r="E8" s="86"/>
      <c r="F8" s="3" t="s">
        <v>53</v>
      </c>
      <c r="G8" s="109">
        <f>MAX('Implied ERP- Annual since 1960'!E3:E66)</f>
        <v>6.4500000000000002E-2</v>
      </c>
      <c r="H8"/>
      <c r="I8"/>
    </row>
    <row r="9" spans="1:13" s="4" customFormat="1">
      <c r="A9" s="3"/>
      <c r="B9" s="121"/>
      <c r="D9" s="3" t="s">
        <v>37</v>
      </c>
      <c r="E9" s="3"/>
      <c r="F9" s="3" t="s">
        <v>54</v>
      </c>
      <c r="G9" s="109">
        <f>AVERAGE('Implied ERP- Annual since 1960'!E3:E66)</f>
        <v>4.2479687500000009E-2</v>
      </c>
      <c r="H9"/>
      <c r="I9"/>
    </row>
    <row r="10" spans="1:13" s="4" customFormat="1">
      <c r="A10" s="3" t="s">
        <v>44</v>
      </c>
      <c r="B10" s="96" t="s">
        <v>89</v>
      </c>
      <c r="D10" s="3" t="s">
        <v>103</v>
      </c>
      <c r="E10" s="86"/>
      <c r="F10" s="3" t="s">
        <v>104</v>
      </c>
      <c r="G10" s="108">
        <f>MIN('Implied ERP- Annual since 1960'!E3:E66)</f>
        <v>2.0500000000000001E-2</v>
      </c>
      <c r="H10"/>
      <c r="I10"/>
    </row>
    <row r="11" spans="1:13" s="4" customFormat="1">
      <c r="A11" s="3" t="s">
        <v>43</v>
      </c>
      <c r="B11" s="104">
        <f>VLOOKUP(B10,F6:G11,2)</f>
        <v>4.4999999999999998E-2</v>
      </c>
      <c r="C11" s="39" t="s">
        <v>116</v>
      </c>
      <c r="D11" s="3" t="s">
        <v>35</v>
      </c>
      <c r="E11" s="86"/>
      <c r="F11" s="3" t="s">
        <v>41</v>
      </c>
      <c r="G11" s="108">
        <f>'Historical ERP'!K97</f>
        <v>5.4394706565341622E-2</v>
      </c>
      <c r="H11"/>
      <c r="I11" s="2"/>
    </row>
    <row r="12" spans="1:13" s="2" customFormat="1">
      <c r="A12" s="3" t="s">
        <v>51</v>
      </c>
      <c r="B12" s="119">
        <f>IF(B6="No",B5,B7)</f>
        <v>4.58E-2</v>
      </c>
      <c r="C12" s="39" t="s">
        <v>116</v>
      </c>
      <c r="D12"/>
      <c r="E12"/>
      <c r="F12"/>
      <c r="G12"/>
      <c r="H12"/>
      <c r="I12"/>
    </row>
    <row r="13" spans="1:13" s="4" customFormat="1">
      <c r="A13" s="101" t="s">
        <v>88</v>
      </c>
      <c r="B13" s="102">
        <v>0.17499999999999999</v>
      </c>
      <c r="D13"/>
      <c r="E13"/>
      <c r="F13"/>
      <c r="G13"/>
      <c r="H13"/>
      <c r="I13"/>
    </row>
    <row r="14" spans="1:13" s="4" customFormat="1">
      <c r="A14" s="183" t="s">
        <v>107</v>
      </c>
      <c r="B14" s="184"/>
      <c r="D14"/>
      <c r="E14"/>
      <c r="F14"/>
    </row>
    <row r="15" spans="1:13" s="4" customFormat="1">
      <c r="A15" s="3" t="s">
        <v>183</v>
      </c>
      <c r="B15" s="94">
        <v>226.64</v>
      </c>
      <c r="D15" s="188" t="s">
        <v>185</v>
      </c>
      <c r="E15" s="189"/>
      <c r="F15" s="189"/>
      <c r="G15" s="189"/>
      <c r="H15"/>
    </row>
    <row r="16" spans="1:13" s="4" customFormat="1">
      <c r="A16" s="3" t="s">
        <v>168</v>
      </c>
      <c r="B16" s="94">
        <v>182.79</v>
      </c>
      <c r="D16" s="188"/>
      <c r="E16" s="189"/>
      <c r="F16" s="189"/>
      <c r="G16" s="189"/>
      <c r="H16"/>
    </row>
    <row r="17" spans="1:14" s="4" customFormat="1">
      <c r="A17" s="3" t="s">
        <v>130</v>
      </c>
      <c r="B17" s="105">
        <v>273.79000000000002</v>
      </c>
      <c r="D17" s="189"/>
      <c r="E17" s="189"/>
      <c r="F17" s="189"/>
      <c r="G17" s="189"/>
      <c r="H17"/>
    </row>
    <row r="18" spans="1:14" s="4" customFormat="1">
      <c r="A18" s="3" t="s">
        <v>167</v>
      </c>
      <c r="B18" s="105">
        <v>309.97000000000003</v>
      </c>
      <c r="D18" s="189"/>
      <c r="E18" s="189"/>
      <c r="F18" s="189"/>
      <c r="G18" s="189"/>
      <c r="H18"/>
    </row>
    <row r="19" spans="1:14" s="4" customFormat="1">
      <c r="A19"/>
      <c r="B19"/>
      <c r="C19"/>
      <c r="D19" s="189"/>
      <c r="E19" s="189"/>
      <c r="F19" s="189"/>
      <c r="G19" s="189"/>
      <c r="H19"/>
    </row>
    <row r="20" spans="1:14" s="4" customFormat="1" ht="13">
      <c r="A20" s="2" t="s">
        <v>184</v>
      </c>
      <c r="B20" s="120" t="s">
        <v>71</v>
      </c>
      <c r="C20" s="100"/>
      <c r="D20" s="189"/>
      <c r="E20" s="189"/>
      <c r="F20" s="189"/>
      <c r="G20" s="189"/>
    </row>
    <row r="21" spans="1:14" s="4" customFormat="1" ht="13">
      <c r="A21" s="2" t="s">
        <v>112</v>
      </c>
      <c r="B21" s="120">
        <v>-0.1</v>
      </c>
      <c r="C21" s="100"/>
    </row>
    <row r="22" spans="1:14" s="4" customFormat="1" thickBot="1">
      <c r="A22" s="2"/>
      <c r="B22" s="37"/>
      <c r="C22" s="95"/>
      <c r="L22" s="23"/>
    </row>
    <row r="23" spans="1:14" s="4" customFormat="1" ht="20" customHeight="1">
      <c r="A23" s="185" t="s">
        <v>101</v>
      </c>
      <c r="B23" s="186"/>
      <c r="C23" s="186"/>
      <c r="D23" s="186"/>
      <c r="E23" s="186"/>
      <c r="F23" s="186"/>
      <c r="G23" s="186"/>
      <c r="H23" s="187"/>
    </row>
    <row r="24" spans="1:14" s="4" customFormat="1">
      <c r="A24" s="169"/>
      <c r="B24" s="162" t="s">
        <v>186</v>
      </c>
      <c r="C24" s="155">
        <v>2025</v>
      </c>
      <c r="D24" s="146">
        <v>2026</v>
      </c>
      <c r="E24" s="146">
        <v>2027</v>
      </c>
      <c r="F24" s="146">
        <v>2028</v>
      </c>
      <c r="G24" s="146">
        <v>2029</v>
      </c>
      <c r="H24" s="147" t="s">
        <v>69</v>
      </c>
      <c r="J24"/>
      <c r="K24"/>
      <c r="L24"/>
      <c r="M24"/>
      <c r="N24"/>
    </row>
    <row r="25" spans="1:14" s="4" customFormat="1">
      <c r="A25" s="168" t="s">
        <v>67</v>
      </c>
      <c r="B25" s="163">
        <f>B15</f>
        <v>226.64</v>
      </c>
      <c r="C25" s="156">
        <f>B17</f>
        <v>273.79000000000002</v>
      </c>
      <c r="D25" s="148">
        <f>IF($B$20="Yes",$B$18*(1+$B$21),$B$18)</f>
        <v>309.97000000000003</v>
      </c>
      <c r="E25" s="148">
        <f>D25*(1+E26)</f>
        <v>342.00954786824451</v>
      </c>
      <c r="F25" s="148">
        <f>E25*(1+F26)</f>
        <v>367.51719847932924</v>
      </c>
      <c r="G25" s="148">
        <f>F25*(1+G26)</f>
        <v>384.34948616968256</v>
      </c>
      <c r="H25" s="149">
        <f>IF(B6="No",G25*(1+B5),G25*(1+B7))</f>
        <v>401.95269263625403</v>
      </c>
      <c r="J25"/>
      <c r="K25"/>
      <c r="L25"/>
      <c r="M25"/>
      <c r="N25"/>
    </row>
    <row r="26" spans="1:14" s="4" customFormat="1">
      <c r="A26" s="168" t="s">
        <v>121</v>
      </c>
      <c r="B26" s="163"/>
      <c r="C26" s="157">
        <f>C25/B25-1</f>
        <v>0.2080391810801272</v>
      </c>
      <c r="D26" s="150">
        <f>D25/C25-1</f>
        <v>0.13214507469228232</v>
      </c>
      <c r="E26" s="150">
        <f>2*(D26-H26)/3+H26</f>
        <v>0.10336338312818821</v>
      </c>
      <c r="F26" s="150">
        <f>1*(D26-H26)/3+H26</f>
        <v>7.458169156409411E-2</v>
      </c>
      <c r="G26" s="150">
        <f>D26-3*($D$26-$H$26)/3</f>
        <v>4.5800000000000007E-2</v>
      </c>
      <c r="H26" s="150">
        <f>B12</f>
        <v>4.58E-2</v>
      </c>
      <c r="J26"/>
      <c r="K26"/>
      <c r="L26"/>
      <c r="M26"/>
      <c r="N26"/>
    </row>
    <row r="27" spans="1:14" s="4" customFormat="1">
      <c r="A27" s="168" t="s">
        <v>68</v>
      </c>
      <c r="B27" s="150">
        <f>B16/B15</f>
        <v>0.80652135545358283</v>
      </c>
      <c r="C27" s="157">
        <f>B27</f>
        <v>0.80652135545358283</v>
      </c>
      <c r="D27" s="150">
        <f>C27-($C$27-$H$27)/4</f>
        <v>0.78946244516161568</v>
      </c>
      <c r="E27" s="150">
        <f t="shared" ref="E27:G27" si="0">D27-($C$27-$H$27)/4</f>
        <v>0.77240353486964852</v>
      </c>
      <c r="F27" s="150">
        <f t="shared" si="0"/>
        <v>0.75534462457768137</v>
      </c>
      <c r="G27" s="150">
        <f t="shared" si="0"/>
        <v>0.73828571428571421</v>
      </c>
      <c r="H27" s="150">
        <f>1-B12/B13</f>
        <v>0.73828571428571421</v>
      </c>
      <c r="J27"/>
      <c r="K27"/>
      <c r="L27"/>
      <c r="M27"/>
      <c r="N27"/>
    </row>
    <row r="28" spans="1:14">
      <c r="A28" s="168" t="s">
        <v>75</v>
      </c>
      <c r="B28" s="163">
        <f>B25*B27</f>
        <v>182.79</v>
      </c>
      <c r="C28" s="158">
        <f t="shared" ref="C28:H28" si="1">C25*C27</f>
        <v>220.81748190963646</v>
      </c>
      <c r="D28" s="151">
        <f t="shared" si="1"/>
        <v>244.70967412674602</v>
      </c>
      <c r="E28" s="151">
        <f t="shared" si="1"/>
        <v>264.16938373260234</v>
      </c>
      <c r="F28" s="151">
        <f t="shared" si="1"/>
        <v>277.60214031121018</v>
      </c>
      <c r="G28" s="151">
        <f t="shared" si="1"/>
        <v>283.75973493213132</v>
      </c>
      <c r="H28" s="149">
        <f t="shared" si="1"/>
        <v>296.75593079202292</v>
      </c>
      <c r="I28" s="4"/>
    </row>
    <row r="29" spans="1:14">
      <c r="A29" s="168" t="s">
        <v>0</v>
      </c>
      <c r="B29" s="164"/>
      <c r="C29" s="159"/>
      <c r="D29" s="152"/>
      <c r="E29" s="152"/>
      <c r="F29" s="152"/>
      <c r="G29" s="152">
        <f>H28/(H31-H30)</f>
        <v>6594.5762398227325</v>
      </c>
      <c r="H29" s="153"/>
      <c r="I29" s="4"/>
    </row>
    <row r="30" spans="1:14">
      <c r="A30" s="168" t="s">
        <v>105</v>
      </c>
      <c r="B30" s="154">
        <f>B5</f>
        <v>4.58E-2</v>
      </c>
      <c r="C30" s="160">
        <f>IF($B$6="No",$B$5,IF($B$8="Immediate (starting now)",$B$7,IF($B$8="Gradual (over 5 years)",B30+($B$7-$B$5)/5,$B$5)))</f>
        <v>4.58E-2</v>
      </c>
      <c r="D30" s="154">
        <f t="shared" ref="D30:G30" si="2">IF($B$6="No",$B$5,IF($B$8="Immediate (starting now)",$B$7,IF($B$8="Gradual (over 5 years)",C30+($B$7-$B$5)/5,$B$5)))</f>
        <v>4.58E-2</v>
      </c>
      <c r="E30" s="154">
        <f t="shared" si="2"/>
        <v>4.58E-2</v>
      </c>
      <c r="F30" s="154">
        <f t="shared" si="2"/>
        <v>4.58E-2</v>
      </c>
      <c r="G30" s="154">
        <f t="shared" si="2"/>
        <v>4.58E-2</v>
      </c>
      <c r="H30" s="150">
        <f>IF(B6="Yes",B7,B5)</f>
        <v>4.58E-2</v>
      </c>
      <c r="I30" s="4"/>
    </row>
    <row r="31" spans="1:14">
      <c r="A31" s="168" t="s">
        <v>106</v>
      </c>
      <c r="B31" s="154">
        <f>B5+B11</f>
        <v>9.0799999999999992E-2</v>
      </c>
      <c r="C31" s="160">
        <f>C30+$B$11</f>
        <v>9.0799999999999992E-2</v>
      </c>
      <c r="D31" s="154">
        <f t="shared" ref="D31:G31" si="3">D30+$B$11</f>
        <v>9.0799999999999992E-2</v>
      </c>
      <c r="E31" s="154">
        <f t="shared" si="3"/>
        <v>9.0799999999999992E-2</v>
      </c>
      <c r="F31" s="154">
        <f t="shared" si="3"/>
        <v>9.0799999999999992E-2</v>
      </c>
      <c r="G31" s="154">
        <f t="shared" si="3"/>
        <v>9.0799999999999992E-2</v>
      </c>
      <c r="H31" s="154">
        <f>H30+B11</f>
        <v>9.0799999999999992E-2</v>
      </c>
      <c r="I31" s="4"/>
    </row>
    <row r="32" spans="1:14">
      <c r="A32" s="168" t="s">
        <v>1</v>
      </c>
      <c r="B32" s="164"/>
      <c r="C32" s="158">
        <f>C28/(1+C31)</f>
        <v>202.4362687107045</v>
      </c>
      <c r="D32" s="151">
        <f>D28/((1+C31)*(1+D31))</f>
        <v>205.66523216572713</v>
      </c>
      <c r="E32" s="151">
        <f>E28/((1+C31)*(1+D31)*(1+E31))</f>
        <v>203.53874634438756</v>
      </c>
      <c r="F32" s="151">
        <f>F28/((1+C31)*(1+D31)*(1+E31)*(1+F31))</f>
        <v>196.08406114918699</v>
      </c>
      <c r="G32" s="151">
        <f>(G28+G29)/((1+C31)*(1+D31)*(1+E31)*(1+F31)*(1+G31))</f>
        <v>4454.0771874879165</v>
      </c>
      <c r="H32" s="153"/>
      <c r="I32" s="4"/>
    </row>
    <row r="33" spans="1:11">
      <c r="A33" s="168" t="s">
        <v>2</v>
      </c>
      <c r="B33" s="165">
        <f>SUM(C32:G32)</f>
        <v>5261.8014958579224</v>
      </c>
      <c r="C33" s="5"/>
      <c r="D33" s="5"/>
      <c r="E33" s="5"/>
      <c r="F33" s="5"/>
      <c r="G33" s="4"/>
      <c r="H33" s="4"/>
    </row>
    <row r="34" spans="1:11" s="4" customFormat="1" ht="13">
      <c r="A34" s="168" t="s">
        <v>47</v>
      </c>
      <c r="B34" s="149">
        <f>B33/B25</f>
        <v>23.216561488960124</v>
      </c>
      <c r="C34" s="161"/>
      <c r="E34" s="58"/>
    </row>
    <row r="35" spans="1:11" s="4" customFormat="1" ht="13">
      <c r="A35" s="168" t="s">
        <v>120</v>
      </c>
      <c r="B35" s="149">
        <f>B33/C25</f>
        <v>19.218384513159435</v>
      </c>
      <c r="E35" s="58"/>
      <c r="F35" s="144"/>
    </row>
    <row r="36" spans="1:11" s="4" customFormat="1" ht="13">
      <c r="A36" s="168" t="s">
        <v>50</v>
      </c>
      <c r="B36" s="149">
        <f>B33/AVERAGE('Buyback &amp; Dividend computation'!C37:C46)</f>
        <v>56.232048730487662</v>
      </c>
      <c r="K36" s="23"/>
    </row>
    <row r="37" spans="1:11">
      <c r="A37" s="168" t="s">
        <v>114</v>
      </c>
      <c r="B37" s="166">
        <f>B3</f>
        <v>5881.63</v>
      </c>
    </row>
    <row r="38" spans="1:11">
      <c r="A38" s="168" t="s">
        <v>115</v>
      </c>
      <c r="B38" s="167">
        <f>B37/B33-1</f>
        <v>0.11779777413306158</v>
      </c>
    </row>
    <row r="41" spans="1:11">
      <c r="A41" s="145"/>
    </row>
    <row r="52" spans="1:1">
      <c r="A52" s="145"/>
    </row>
  </sheetData>
  <sortState xmlns:xlrd2="http://schemas.microsoft.com/office/spreadsheetml/2017/richdata2" ref="F6:G13">
    <sortCondition ref="F6:F13"/>
  </sortState>
  <mergeCells count="5">
    <mergeCell ref="A1:I1"/>
    <mergeCell ref="A14:B14"/>
    <mergeCell ref="A4:B4"/>
    <mergeCell ref="A23:H23"/>
    <mergeCell ref="D15:G20"/>
  </mergeCells>
  <phoneticPr fontId="11" type="noConversion"/>
  <dataValidations count="7">
    <dataValidation type="list" allowBlank="1" showInputMessage="1" showErrorMessage="1" sqref="B10" xr:uid="{00000000-0002-0000-0000-000002000000}">
      <formula1>$F$6:$F$11</formula1>
    </dataValidation>
    <dataValidation allowBlank="1" showInputMessage="1" showErrorMessage="1" promptTitle="Growth in perpetuity" prompt="This is set equal to your estimate of the risk free rate after year 5. While this may seem like brute force, it is protection against internal inconsistency (of using high growth rates and low interest rates in perpetuity)." sqref="B12" xr:uid="{E7D76CD1-CAE9-844A-96E3-CE97B1B37421}"/>
    <dataValidation allowBlank="1" showInputMessage="1" showErrorMessage="1" promptTitle="ERP number" prompt="This number will change, as you change the choice in cell B12. If you want to directly input a different number, the best way to do so is to enter the number in G9 and picked &quot;ERPDirect&quot; in cell B12." sqref="B11" xr:uid="{B174B54C-C1FE-654D-8BEE-79A68F975F90}"/>
    <dataValidation allowBlank="1" showInputMessage="1" showErrorMessage="1" promptTitle="Earnings Adjustment" prompt="If you feel that analysts are being over optimistic and want to lower earnings, enter the percentage change here. Thus, if you want to decrease earnings in 2021 and 2022 by 10%, enter -10.00% in B22. If you want to increase earnings, enter the percentage " sqref="B21" xr:uid="{FA31FC81-B6FB-794B-8B0B-5CBE7C5740C6}"/>
    <dataValidation allowBlank="1" showInputMessage="1" showErrorMessage="1" promptTitle="Risk free Rate" prompt="I use the 10-year US treasury bond rate today as my risk free rate. I don't use the 30-year rate for two reasons: (a) it is not as liquid and does not have the same historical base and (b) other inputs, like default spreads, become more difficult to get. " sqref="B5" xr:uid="{F06329EC-B073-A54C-AC72-E2DAE475485C}"/>
    <dataValidation allowBlank="1" showInputMessage="1" showErrorMessage="1" promptTitle="Normal risk free rates" prompt="You are now in dangerous territory, and the older you are, the greater the danger, since our definitions of what is normal reflect what we learned in our earliest years in the market. If you want to make a judgment on this value, I would go back in time, " sqref="B7" xr:uid="{FFADE354-7D57-4C42-96B5-6EB837D43607}"/>
    <dataValidation allowBlank="1" showInputMessage="1" showErrorMessage="1" promptTitle="ROE and why it matters" prompt="This was the aggregated, average ROE for the S&amp;P 500 over the last decade. The ROE comes into play in the later stages in the valuation, when I compute what the cash payout will be in the terminal year. It is based upon a very simple long term relationshi" sqref="B13" xr:uid="{6D81E7CF-4EF9-0E4E-8B60-9FF6B9587782}"/>
  </dataValidations>
  <printOptions gridLines="1" gridLinesSet="0"/>
  <pageMargins left="0.75" right="0.75" top="1" bottom="1" header="0.5" footer="0.5"/>
  <pageSetup scale="80" orientation="landscape" horizontalDpi="4294967292" verticalDpi="4294967292"/>
  <headerFooter alignWithMargins="0">
    <oddHeader>&amp;A</oddHeader>
    <oddFooter>Page &amp;P</oddFooter>
  </headerFooter>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'Input Choices'!$A$2:$A$3</xm:f>
          </x14:formula1>
          <xm:sqref>B6 B20</xm:sqref>
        </x14:dataValidation>
        <x14:dataValidation type="list" allowBlank="1" showInputMessage="1" showErrorMessage="1" promptTitle="Adjustment period" prompt="Even if you believe rates will change over time, this cell gives you a chance to tell me how the adjustment will happen. If you want to instantaneously change rates, pick immediate and the valuation will entirely be based on the new rate. If you believe t" xr:uid="{9EEF9C38-5BCC-D548-B534-80A50E2F6944}">
          <x14:formula1>
            <xm:f>'Input Choices'!$B$2:$B$4</xm:f>
          </x14:formula1>
          <xm:sqref>B8</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workbookViewId="0">
      <selection sqref="A1:S1048576"/>
    </sheetView>
  </sheetViews>
  <sheetFormatPr baseColWidth="10" defaultRowHeight="14"/>
  <cols>
    <col min="1" max="1" width="18.42578125" bestFit="1" customWidth="1"/>
    <col min="2" max="2" width="19.140625" bestFit="1" customWidth="1"/>
    <col min="4" max="4" width="19.85546875" bestFit="1" customWidth="1"/>
    <col min="6" max="6" width="16.140625" bestFit="1" customWidth="1"/>
    <col min="7" max="7" width="19.140625" bestFit="1" customWidth="1"/>
    <col min="8" max="8" width="12.7109375" customWidth="1"/>
    <col min="9" max="10" width="21.28515625" customWidth="1"/>
    <col min="11" max="11" width="13.42578125" customWidth="1"/>
    <col min="12" max="12" width="19.85546875" bestFit="1" customWidth="1"/>
  </cols>
  <sheetData>
    <row r="1" spans="1:14" ht="16">
      <c r="A1" s="191" t="s">
        <v>169</v>
      </c>
      <c r="B1" s="191"/>
      <c r="C1" s="191"/>
      <c r="D1" s="191"/>
      <c r="E1" s="132"/>
      <c r="F1" s="192" t="s">
        <v>170</v>
      </c>
      <c r="G1" s="192"/>
      <c r="H1" s="192"/>
      <c r="I1" s="192"/>
      <c r="K1" s="192" t="s">
        <v>131</v>
      </c>
      <c r="L1" s="192"/>
      <c r="M1" s="192"/>
      <c r="N1" s="192"/>
    </row>
    <row r="2" spans="1:14">
      <c r="A2" t="s">
        <v>5</v>
      </c>
      <c r="B2" t="s">
        <v>24</v>
      </c>
      <c r="D2" t="s">
        <v>23</v>
      </c>
      <c r="F2" t="s">
        <v>5</v>
      </c>
      <c r="G2" t="s">
        <v>24</v>
      </c>
      <c r="I2" t="s">
        <v>23</v>
      </c>
      <c r="K2" t="s">
        <v>5</v>
      </c>
      <c r="L2" t="s">
        <v>24</v>
      </c>
      <c r="N2" t="s">
        <v>23</v>
      </c>
    </row>
    <row r="3" spans="1:14">
      <c r="A3">
        <v>2021</v>
      </c>
      <c r="C3" s="125">
        <v>208.53</v>
      </c>
      <c r="F3">
        <v>2021</v>
      </c>
      <c r="H3" s="126">
        <f>C3</f>
        <v>208.53</v>
      </c>
      <c r="K3">
        <v>2021</v>
      </c>
      <c r="M3" s="126">
        <v>208.49</v>
      </c>
    </row>
    <row r="4" spans="1:14">
      <c r="A4">
        <v>2022</v>
      </c>
      <c r="C4" s="72">
        <f>H4</f>
        <v>218.09</v>
      </c>
      <c r="D4" t="s">
        <v>76</v>
      </c>
      <c r="F4">
        <v>2022</v>
      </c>
      <c r="H4" s="72">
        <v>218.09</v>
      </c>
      <c r="I4" t="s">
        <v>82</v>
      </c>
      <c r="K4" t="s">
        <v>132</v>
      </c>
      <c r="M4" s="72">
        <v>220.87</v>
      </c>
      <c r="N4" t="s">
        <v>82</v>
      </c>
    </row>
    <row r="5" spans="1:14">
      <c r="A5">
        <v>2023</v>
      </c>
      <c r="B5" s="18">
        <f>C5/C4-1</f>
        <v>3.1684167086982518E-2</v>
      </c>
      <c r="C5" s="72">
        <v>225</v>
      </c>
      <c r="D5" t="s">
        <v>76</v>
      </c>
      <c r="F5">
        <v>2023</v>
      </c>
      <c r="G5" s="18">
        <f>H5/H4-1</f>
        <v>1.1738273189967563E-2</v>
      </c>
      <c r="H5" s="72">
        <v>220.65</v>
      </c>
      <c r="I5" t="s">
        <v>82</v>
      </c>
      <c r="K5">
        <v>2023</v>
      </c>
      <c r="L5" s="18">
        <f>M5/M4-1</f>
        <v>4.8535337528863076E-2</v>
      </c>
      <c r="M5" s="72">
        <v>231.59</v>
      </c>
      <c r="N5" t="s">
        <v>82</v>
      </c>
    </row>
    <row r="6" spans="1:14">
      <c r="A6">
        <v>2024</v>
      </c>
      <c r="B6" s="18">
        <f>C6/C5-1</f>
        <v>0.11111111111111116</v>
      </c>
      <c r="C6" s="127">
        <v>250</v>
      </c>
      <c r="D6" t="s">
        <v>76</v>
      </c>
      <c r="F6">
        <v>2024</v>
      </c>
      <c r="G6" s="18">
        <f>H6/H5-1</f>
        <v>0.12073419442556088</v>
      </c>
      <c r="H6" s="72">
        <v>247.29</v>
      </c>
      <c r="I6" t="s">
        <v>82</v>
      </c>
      <c r="K6">
        <v>2024</v>
      </c>
      <c r="L6" s="18">
        <f>L5-1*(L5-$L$10)/5</f>
        <v>4.798827002309046E-2</v>
      </c>
      <c r="M6" s="72"/>
      <c r="N6" t="s">
        <v>82</v>
      </c>
    </row>
    <row r="7" spans="1:14">
      <c r="A7">
        <v>2025</v>
      </c>
      <c r="B7" s="18">
        <f>C7/C6-1</f>
        <v>8.0000000000000071E-2</v>
      </c>
      <c r="C7" s="72">
        <v>270</v>
      </c>
      <c r="D7" s="128"/>
      <c r="F7">
        <v>2025</v>
      </c>
      <c r="G7" s="18">
        <f>H7/H6-1</f>
        <v>0.12212382223300589</v>
      </c>
      <c r="H7" s="72">
        <v>277.49</v>
      </c>
      <c r="I7" t="s">
        <v>82</v>
      </c>
      <c r="K7">
        <v>2025</v>
      </c>
      <c r="L7" s="18">
        <f>L5-2*(L5-$L$10)/5</f>
        <v>4.7441202517317843E-2</v>
      </c>
      <c r="M7" s="86"/>
      <c r="N7" t="s">
        <v>82</v>
      </c>
    </row>
    <row r="8" spans="1:14">
      <c r="A8">
        <v>2026</v>
      </c>
      <c r="B8" s="27">
        <f>(B5+B6+B7)/3-1*((B5+B6+B7)/3-$B10)/3</f>
        <v>6.4776728488465274E-2</v>
      </c>
      <c r="F8">
        <v>2026</v>
      </c>
      <c r="G8" s="27">
        <f>(G5+G6+G7)/3-1*((G5+G6+G7)/3-$G10)/3</f>
        <v>7.1843619966340963E-2</v>
      </c>
      <c r="K8">
        <v>2026</v>
      </c>
      <c r="L8" s="27">
        <f>L5-3*(L5-$L$10)/5</f>
        <v>4.6894135011545234E-2</v>
      </c>
    </row>
    <row r="9" spans="1:14">
      <c r="A9">
        <v>2027</v>
      </c>
      <c r="B9" s="18">
        <f>(B5+B6+B7)/3-2*((B5+B6+B7)/3-$B10)/3</f>
        <v>5.5288364244232641E-2</v>
      </c>
      <c r="F9">
        <v>2027</v>
      </c>
      <c r="G9" s="18">
        <f>(G5+G6+G7)/3-2*((G5+G6+G7)/3-$G10)/3</f>
        <v>5.8821809983170478E-2</v>
      </c>
      <c r="K9">
        <v>2027</v>
      </c>
      <c r="L9" s="18">
        <f>L5-4*(L5-$L$10)/5</f>
        <v>4.6347067505772617E-2</v>
      </c>
    </row>
    <row r="10" spans="1:14" ht="15" thickBot="1">
      <c r="A10">
        <v>2028</v>
      </c>
      <c r="B10" s="18">
        <v>4.58E-2</v>
      </c>
      <c r="F10">
        <v>2028</v>
      </c>
      <c r="G10" s="18">
        <v>4.58E-2</v>
      </c>
      <c r="K10">
        <v>2028</v>
      </c>
      <c r="L10" s="18">
        <f>G10</f>
        <v>4.58E-2</v>
      </c>
    </row>
    <row r="11" spans="1:14" ht="15" thickBot="1">
      <c r="A11" t="s">
        <v>16</v>
      </c>
      <c r="B11" s="93">
        <f>((1+B5)*(1+B6)*(1+B7)*(1+B8)*(1+B9))^(1/5)-1</f>
        <v>6.8246656991091559E-2</v>
      </c>
      <c r="F11" t="s">
        <v>133</v>
      </c>
      <c r="G11" s="93">
        <f>((1+G5)*(1+G6)*(1+G7)*(1+G8)*(1+G9))^(1/5)-1</f>
        <v>7.6250033604250422E-2</v>
      </c>
      <c r="K11" t="s">
        <v>122</v>
      </c>
      <c r="L11" s="93">
        <f>((1+L5)*(1+L6)*(1+L7)*(1+L8)*(1+L9))^(1/5)-1</f>
        <v>4.7440916789629251E-2</v>
      </c>
    </row>
    <row r="13" spans="1:14">
      <c r="A13" t="s">
        <v>129</v>
      </c>
    </row>
    <row r="14" spans="1:14">
      <c r="A14" s="44" t="s">
        <v>49</v>
      </c>
    </row>
    <row r="15" spans="1:14">
      <c r="A15" s="44" t="s">
        <v>48</v>
      </c>
    </row>
    <row r="16" spans="1:14">
      <c r="A16" s="44" t="s">
        <v>76</v>
      </c>
    </row>
    <row r="17" spans="1:11">
      <c r="A17" s="44" t="s">
        <v>77</v>
      </c>
      <c r="B17" t="s">
        <v>81</v>
      </c>
    </row>
    <row r="18" spans="1:11">
      <c r="A18" s="44"/>
      <c r="B18" t="s">
        <v>80</v>
      </c>
    </row>
    <row r="19" spans="1:11">
      <c r="A19" s="44"/>
    </row>
    <row r="20" spans="1:11">
      <c r="A20" s="44"/>
    </row>
    <row r="25" spans="1:11" ht="19">
      <c r="G25" s="190" t="s">
        <v>134</v>
      </c>
      <c r="H25" s="190"/>
      <c r="J25" s="107"/>
    </row>
    <row r="26" spans="1:11">
      <c r="G26" s="190" t="s">
        <v>90</v>
      </c>
      <c r="H26" s="190"/>
    </row>
    <row r="27" spans="1:11" ht="16">
      <c r="G27" s="129" t="s">
        <v>123</v>
      </c>
      <c r="H27" s="129" t="s">
        <v>124</v>
      </c>
      <c r="I27" s="129" t="s">
        <v>125</v>
      </c>
      <c r="J27" s="129" t="s">
        <v>135</v>
      </c>
      <c r="K27" s="129" t="s">
        <v>136</v>
      </c>
    </row>
    <row r="28" spans="1:11" ht="16">
      <c r="G28" s="130" t="s">
        <v>137</v>
      </c>
      <c r="H28" s="129" t="s">
        <v>138</v>
      </c>
      <c r="I28" s="139">
        <v>4500</v>
      </c>
      <c r="J28" s="131">
        <v>195</v>
      </c>
      <c r="K28" s="140">
        <f>I28/J28</f>
        <v>23.076923076923077</v>
      </c>
    </row>
    <row r="29" spans="1:11" ht="16">
      <c r="G29" s="130" t="s">
        <v>91</v>
      </c>
      <c r="H29" s="129" t="s">
        <v>92</v>
      </c>
      <c r="I29" s="139">
        <v>4300</v>
      </c>
      <c r="J29" s="131">
        <v>220</v>
      </c>
      <c r="K29" s="140">
        <f t="shared" ref="K29:K44" si="0">I29/J29</f>
        <v>19.545454545454547</v>
      </c>
    </row>
    <row r="30" spans="1:11" ht="16">
      <c r="G30" s="130" t="s">
        <v>139</v>
      </c>
      <c r="H30" s="129" t="s">
        <v>140</v>
      </c>
      <c r="I30" s="139">
        <v>4225</v>
      </c>
      <c r="J30" s="131">
        <v>225</v>
      </c>
      <c r="K30" s="140">
        <f t="shared" si="0"/>
        <v>18.777777777777779</v>
      </c>
    </row>
    <row r="31" spans="1:11" ht="16">
      <c r="G31" s="130" t="s">
        <v>141</v>
      </c>
      <c r="H31" s="129" t="s">
        <v>142</v>
      </c>
      <c r="I31" s="139">
        <v>4200</v>
      </c>
      <c r="J31" s="131">
        <v>232</v>
      </c>
      <c r="K31" s="140">
        <f t="shared" si="0"/>
        <v>18.103448275862068</v>
      </c>
    </row>
    <row r="32" spans="1:11" ht="16">
      <c r="G32" s="130" t="s">
        <v>143</v>
      </c>
      <c r="H32" s="129" t="s">
        <v>94</v>
      </c>
      <c r="I32" s="139">
        <v>4200</v>
      </c>
      <c r="J32" s="131">
        <v>205</v>
      </c>
      <c r="K32" s="140">
        <f t="shared" si="0"/>
        <v>20.487804878048781</v>
      </c>
    </row>
    <row r="33" spans="7:11" ht="16">
      <c r="G33" s="130" t="s">
        <v>144</v>
      </c>
      <c r="H33" s="129" t="s">
        <v>145</v>
      </c>
      <c r="I33" s="139">
        <v>4100</v>
      </c>
      <c r="J33" s="131">
        <v>212</v>
      </c>
      <c r="K33" s="140">
        <f t="shared" si="0"/>
        <v>19.339622641509433</v>
      </c>
    </row>
    <row r="34" spans="7:11" ht="16">
      <c r="G34" s="130" t="s">
        <v>146</v>
      </c>
      <c r="H34" s="129" t="s">
        <v>96</v>
      </c>
      <c r="I34" s="139">
        <v>4100</v>
      </c>
      <c r="J34" s="131">
        <v>199</v>
      </c>
      <c r="K34" s="140">
        <f t="shared" si="0"/>
        <v>20.603015075376884</v>
      </c>
    </row>
    <row r="35" spans="7:11" ht="16">
      <c r="G35" s="130" t="s">
        <v>147</v>
      </c>
      <c r="H35" s="129" t="s">
        <v>93</v>
      </c>
      <c r="I35" s="139">
        <v>4050</v>
      </c>
      <c r="J35" s="131">
        <v>230</v>
      </c>
      <c r="K35" s="140">
        <f t="shared" si="0"/>
        <v>17.608695652173914</v>
      </c>
    </row>
    <row r="36" spans="7:11" ht="16">
      <c r="G36" s="130" t="s">
        <v>148</v>
      </c>
      <c r="H36" s="129" t="s">
        <v>149</v>
      </c>
      <c r="I36" s="139">
        <v>4000</v>
      </c>
      <c r="J36" s="131">
        <v>200</v>
      </c>
      <c r="K36" s="140">
        <f t="shared" si="0"/>
        <v>20</v>
      </c>
    </row>
    <row r="37" spans="7:11" ht="16">
      <c r="G37" s="130" t="s">
        <v>150</v>
      </c>
      <c r="H37" s="129" t="s">
        <v>151</v>
      </c>
      <c r="I37" s="139">
        <v>4000</v>
      </c>
      <c r="J37" s="131">
        <v>224</v>
      </c>
      <c r="K37" s="140">
        <f t="shared" si="0"/>
        <v>17.857142857142858</v>
      </c>
    </row>
    <row r="38" spans="7:11" ht="16">
      <c r="G38" s="130" t="s">
        <v>152</v>
      </c>
      <c r="H38" s="129" t="s">
        <v>153</v>
      </c>
      <c r="I38" s="139">
        <v>4000</v>
      </c>
      <c r="J38" s="131">
        <v>225</v>
      </c>
      <c r="K38" s="140">
        <f t="shared" si="0"/>
        <v>17.777777777777779</v>
      </c>
    </row>
    <row r="39" spans="7:11" ht="16">
      <c r="G39" s="130" t="s">
        <v>154</v>
      </c>
      <c r="H39" s="129" t="s">
        <v>126</v>
      </c>
      <c r="I39" s="139">
        <v>3900</v>
      </c>
      <c r="J39" s="131">
        <v>215</v>
      </c>
      <c r="K39" s="140">
        <f t="shared" si="0"/>
        <v>18.13953488372093</v>
      </c>
    </row>
    <row r="40" spans="7:11" ht="16">
      <c r="G40" s="130" t="s">
        <v>155</v>
      </c>
      <c r="H40" s="129" t="s">
        <v>95</v>
      </c>
      <c r="I40" s="139">
        <v>3900</v>
      </c>
      <c r="J40" s="131">
        <v>314</v>
      </c>
      <c r="K40" s="140">
        <f t="shared" si="0"/>
        <v>12.420382165605096</v>
      </c>
    </row>
    <row r="41" spans="7:11" ht="16">
      <c r="G41" s="130" t="s">
        <v>97</v>
      </c>
      <c r="H41" s="129" t="s">
        <v>127</v>
      </c>
      <c r="I41" s="139">
        <v>3900</v>
      </c>
      <c r="J41" s="131">
        <v>198</v>
      </c>
      <c r="K41" s="140">
        <f t="shared" si="0"/>
        <v>19.696969696969695</v>
      </c>
    </row>
    <row r="42" spans="7:11" ht="16">
      <c r="G42" s="130" t="s">
        <v>156</v>
      </c>
      <c r="H42" s="129" t="s">
        <v>157</v>
      </c>
      <c r="I42" s="139">
        <v>3725</v>
      </c>
      <c r="J42" s="131">
        <v>207</v>
      </c>
      <c r="K42" s="140">
        <f t="shared" si="0"/>
        <v>17.995169082125603</v>
      </c>
    </row>
    <row r="43" spans="7:11" ht="16">
      <c r="G43" s="130" t="s">
        <v>158</v>
      </c>
      <c r="H43" s="129" t="s">
        <v>159</v>
      </c>
      <c r="I43" s="139">
        <v>3650</v>
      </c>
      <c r="J43" s="131">
        <v>220</v>
      </c>
      <c r="K43" s="140">
        <f t="shared" si="0"/>
        <v>16.59090909090909</v>
      </c>
    </row>
    <row r="44" spans="7:11" ht="16">
      <c r="G44" s="130" t="s">
        <v>160</v>
      </c>
      <c r="H44" s="129" t="s">
        <v>161</v>
      </c>
      <c r="I44" s="139">
        <v>3400</v>
      </c>
      <c r="J44" s="131">
        <v>219</v>
      </c>
      <c r="K44" s="140">
        <f t="shared" si="0"/>
        <v>15.525114155251142</v>
      </c>
    </row>
    <row r="45" spans="7:11" ht="16">
      <c r="G45" s="130" t="s">
        <v>162</v>
      </c>
      <c r="H45" s="129" t="s">
        <v>163</v>
      </c>
      <c r="I45" s="139" t="s">
        <v>164</v>
      </c>
      <c r="J45" s="131">
        <v>222</v>
      </c>
      <c r="K45" s="140"/>
    </row>
    <row r="46" spans="7:11" ht="16">
      <c r="G46" s="130" t="s">
        <v>165</v>
      </c>
      <c r="H46" s="129" t="s">
        <v>166</v>
      </c>
      <c r="I46" s="139" t="s">
        <v>164</v>
      </c>
      <c r="J46" s="131">
        <v>220</v>
      </c>
      <c r="K46" s="140"/>
    </row>
    <row r="47" spans="7:11">
      <c r="G47" s="86" t="s">
        <v>73</v>
      </c>
      <c r="H47" s="86"/>
      <c r="I47" s="10"/>
      <c r="J47" s="141">
        <f>AVERAGE(J28:J46)</f>
        <v>220.10526315789474</v>
      </c>
    </row>
    <row r="48" spans="7:11">
      <c r="G48" s="86" t="s">
        <v>98</v>
      </c>
      <c r="H48" s="86"/>
      <c r="I48" s="10"/>
      <c r="J48" s="141">
        <f>MEDIAN(J28:J40)</f>
        <v>220</v>
      </c>
    </row>
    <row r="49" spans="7:10">
      <c r="G49" s="86" t="s">
        <v>99</v>
      </c>
      <c r="H49" s="86"/>
      <c r="I49" s="86"/>
      <c r="J49" s="142">
        <f>MAX(J28:J40)</f>
        <v>314</v>
      </c>
    </row>
    <row r="50" spans="7:10">
      <c r="G50" s="86" t="s">
        <v>100</v>
      </c>
      <c r="H50" s="86"/>
      <c r="I50" s="86"/>
      <c r="J50" s="142">
        <f>MIN(J28:J40)</f>
        <v>195</v>
      </c>
    </row>
  </sheetData>
  <mergeCells count="5">
    <mergeCell ref="G25:H25"/>
    <mergeCell ref="G26:H26"/>
    <mergeCell ref="A1:D1"/>
    <mergeCell ref="K1:N1"/>
    <mergeCell ref="F1:I1"/>
  </mergeCells>
  <hyperlinks>
    <hyperlink ref="A15" r:id="rId1" xr:uid="{589279F3-E05F-E549-9A1B-FE60ADBA54B5}"/>
    <hyperlink ref="A14" r:id="rId2" xr:uid="{13CB3DD5-BC99-C04C-9C6D-758A59AE010D}"/>
    <hyperlink ref="A17" r:id="rId3" display="S&amp;P" xr:uid="{389FE362-0C11-204E-887A-E384AA9C7B46}"/>
    <hyperlink ref="A16" r:id="rId4" xr:uid="{EE176F88-999F-DB42-BDBF-CDB121B724BF}"/>
  </hyperlinks>
  <printOptions gridLines="1" gridLinesSet="0"/>
  <pageMargins left="0.75" right="0.75" top="1" bottom="1" header="0.5" footer="0.5"/>
  <pageSetup orientation="portrait" horizontalDpi="4294967292" verticalDpi="4294967292"/>
  <headerFooter alignWithMargins="0">
    <oddHeader>&amp;A</oddHeader>
    <oddFooter>Page &amp;P</oddFooter>
  </headerFooter>
  <drawing r:id="rId5"/>
  <legacyDrawing r:id="rId6"/>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5"/>
  <sheetViews>
    <sheetView workbookViewId="0">
      <selection sqref="A1:E23"/>
    </sheetView>
  </sheetViews>
  <sheetFormatPr baseColWidth="10" defaultRowHeight="14"/>
  <cols>
    <col min="1" max="1" width="15.42578125" style="6" bestFit="1" customWidth="1"/>
    <col min="2" max="2" width="15.85546875" style="6" bestFit="1" customWidth="1"/>
    <col min="3" max="5" width="10.7109375" style="6"/>
    <col min="6" max="6" width="11.7109375" style="6" bestFit="1" customWidth="1"/>
    <col min="7" max="16384" width="10.7109375" style="6"/>
  </cols>
  <sheetData>
    <row r="1" spans="1:12" ht="30">
      <c r="A1" s="6" t="s">
        <v>5</v>
      </c>
      <c r="B1" s="6" t="s">
        <v>3</v>
      </c>
      <c r="C1" s="6" t="s">
        <v>4</v>
      </c>
      <c r="D1" s="32" t="s">
        <v>57</v>
      </c>
      <c r="E1" s="10" t="s">
        <v>28</v>
      </c>
      <c r="F1" s="10" t="s">
        <v>31</v>
      </c>
      <c r="G1" s="10" t="s">
        <v>32</v>
      </c>
      <c r="H1" t="s">
        <v>74</v>
      </c>
      <c r="I1" s="6" t="s">
        <v>78</v>
      </c>
    </row>
    <row r="2" spans="1:12">
      <c r="A2" s="10">
        <v>2001</v>
      </c>
      <c r="B2" s="7">
        <f t="shared" ref="B2:D17" si="0">I30</f>
        <v>1.3709726589378883E-2</v>
      </c>
      <c r="C2" s="7">
        <f t="shared" si="0"/>
        <v>1.2490273410621118E-2</v>
      </c>
      <c r="D2" s="33">
        <f t="shared" si="0"/>
        <v>2.6200000000000001E-2</v>
      </c>
      <c r="E2" s="36">
        <f>(D30+E30)/C30</f>
        <v>0.77425889317889307</v>
      </c>
      <c r="F2" s="36">
        <f t="shared" ref="F2:F23" si="1">C30/M30</f>
        <v>0.11924493554327809</v>
      </c>
      <c r="G2" s="36">
        <f t="shared" ref="G2:G23" si="2">C30/O30</f>
        <v>5.2722288568016501E-2</v>
      </c>
      <c r="H2"/>
      <c r="J2" s="22"/>
    </row>
    <row r="3" spans="1:12">
      <c r="A3" s="10">
        <v>2002</v>
      </c>
      <c r="B3" s="7">
        <f t="shared" si="0"/>
        <v>1.8140074106067151E-2</v>
      </c>
      <c r="C3" s="7">
        <f t="shared" si="0"/>
        <v>1.5759925893932849E-2</v>
      </c>
      <c r="D3" s="33">
        <f t="shared" si="0"/>
        <v>3.39E-2</v>
      </c>
      <c r="E3" s="36">
        <f t="shared" ref="E3:E18" si="3">(D31+E31)/C31</f>
        <v>0.64782576020851435</v>
      </c>
      <c r="F3" s="36">
        <f t="shared" si="1"/>
        <v>0.13606407187398409</v>
      </c>
      <c r="G3" s="36">
        <f t="shared" si="2"/>
        <v>6.8248862271898483E-2</v>
      </c>
      <c r="H3"/>
      <c r="J3" s="22"/>
    </row>
    <row r="4" spans="1:12">
      <c r="A4" s="10">
        <v>2003</v>
      </c>
      <c r="B4" s="7">
        <f t="shared" si="0"/>
        <v>1.6080438164959392E-2</v>
      </c>
      <c r="C4" s="7">
        <f t="shared" si="0"/>
        <v>1.2319561835040609E-2</v>
      </c>
      <c r="D4" s="33">
        <f t="shared" si="0"/>
        <v>2.8400000000000002E-2</v>
      </c>
      <c r="E4" s="36">
        <f t="shared" si="3"/>
        <v>0.57740435180106064</v>
      </c>
      <c r="F4" s="36">
        <f t="shared" si="1"/>
        <v>0.1679049490359818</v>
      </c>
      <c r="G4" s="36">
        <f t="shared" si="2"/>
        <v>7.694039194721515E-2</v>
      </c>
      <c r="H4"/>
    </row>
    <row r="5" spans="1:12">
      <c r="A5" s="10">
        <v>2004</v>
      </c>
      <c r="B5" s="7">
        <f t="shared" si="0"/>
        <v>1.568585385173939E-2</v>
      </c>
      <c r="C5" s="7">
        <f t="shared" si="0"/>
        <v>1.7814146148260612E-2</v>
      </c>
      <c r="D5" s="33">
        <f t="shared" si="0"/>
        <v>3.3500000000000002E-2</v>
      </c>
      <c r="E5" s="36">
        <f t="shared" si="3"/>
        <v>0.59987174940898347</v>
      </c>
      <c r="F5" s="36">
        <f t="shared" si="1"/>
        <v>0.18432878503145683</v>
      </c>
      <c r="G5" s="36">
        <f t="shared" si="2"/>
        <v>8.5869799662509363E-2</v>
      </c>
      <c r="H5"/>
    </row>
    <row r="6" spans="1:12">
      <c r="A6" s="10">
        <v>2005</v>
      </c>
      <c r="B6" s="7">
        <f t="shared" si="0"/>
        <v>1.7899999999999999E-2</v>
      </c>
      <c r="C6" s="7">
        <f t="shared" si="0"/>
        <v>3.1099999999999999E-2</v>
      </c>
      <c r="D6" s="33">
        <f t="shared" si="0"/>
        <v>4.9000000000000002E-2</v>
      </c>
      <c r="E6" s="36">
        <f t="shared" si="3"/>
        <v>0.80008122956180494</v>
      </c>
      <c r="F6" s="36">
        <f t="shared" si="1"/>
        <v>0.18432790837854129</v>
      </c>
      <c r="G6" s="36">
        <f t="shared" si="2"/>
        <v>8.7439381462164886E-2</v>
      </c>
      <c r="H6"/>
    </row>
    <row r="7" spans="1:12">
      <c r="A7" s="10">
        <v>2006</v>
      </c>
      <c r="B7" s="7">
        <f t="shared" si="0"/>
        <v>1.765653232775552E-2</v>
      </c>
      <c r="C7" s="7">
        <f t="shared" si="0"/>
        <v>3.3924895906984054E-2</v>
      </c>
      <c r="D7" s="33">
        <f t="shared" si="0"/>
        <v>5.16E-2</v>
      </c>
      <c r="E7" s="36">
        <f t="shared" si="3"/>
        <v>0.83399384023405299</v>
      </c>
      <c r="F7" s="36">
        <f t="shared" si="1"/>
        <v>0.19361673950470137</v>
      </c>
      <c r="G7" s="36">
        <f t="shared" si="2"/>
        <v>9.209352132786007E-2</v>
      </c>
      <c r="H7"/>
    </row>
    <row r="8" spans="1:12">
      <c r="A8" s="11">
        <v>2007</v>
      </c>
      <c r="B8" s="7">
        <f t="shared" si="0"/>
        <v>1.9163040099471559E-2</v>
      </c>
      <c r="C8" s="7">
        <f t="shared" si="0"/>
        <v>4.5781784271059993E-2</v>
      </c>
      <c r="D8" s="33">
        <f t="shared" si="0"/>
        <v>6.4944824370531548E-2</v>
      </c>
      <c r="E8" s="36">
        <f t="shared" si="3"/>
        <v>1.1553474959136625</v>
      </c>
      <c r="F8" s="36">
        <f t="shared" si="1"/>
        <v>0.1636432125934297</v>
      </c>
      <c r="G8" s="36">
        <f t="shared" si="2"/>
        <v>8.0520544737971683E-2</v>
      </c>
      <c r="H8"/>
    </row>
    <row r="9" spans="1:12">
      <c r="A9" s="6">
        <v>2008</v>
      </c>
      <c r="B9" s="7">
        <f t="shared" si="0"/>
        <v>3.1493886907794193E-2</v>
      </c>
      <c r="C9" s="7">
        <f t="shared" si="0"/>
        <v>4.3255221599592462E-2</v>
      </c>
      <c r="D9" s="33">
        <f t="shared" si="0"/>
        <v>7.4749108507386655E-2</v>
      </c>
      <c r="E9" s="36">
        <f t="shared" si="3"/>
        <v>1.3637069735264997</v>
      </c>
      <c r="F9" s="36">
        <f t="shared" si="1"/>
        <v>9.3487414792575385E-2</v>
      </c>
      <c r="G9" s="36">
        <f t="shared" si="2"/>
        <v>4.7493429004470192E-2</v>
      </c>
      <c r="H9"/>
    </row>
    <row r="10" spans="1:12" ht="14" customHeight="1">
      <c r="A10" s="6">
        <v>2009</v>
      </c>
      <c r="B10" s="7">
        <f t="shared" si="0"/>
        <v>1.9702860596293312E-2</v>
      </c>
      <c r="C10" s="7">
        <f t="shared" si="0"/>
        <v>1.3864826752618856E-2</v>
      </c>
      <c r="D10" s="33">
        <f t="shared" si="0"/>
        <v>3.3567687348912169E-2</v>
      </c>
      <c r="E10" s="36">
        <f t="shared" si="3"/>
        <v>0.65824782613501698</v>
      </c>
      <c r="F10" s="36">
        <f t="shared" si="1"/>
        <v>0.12597204067616369</v>
      </c>
      <c r="G10" s="36">
        <f t="shared" si="2"/>
        <v>6.2593571114046676E-2</v>
      </c>
      <c r="H10"/>
      <c r="J10" s="193" t="s">
        <v>171</v>
      </c>
      <c r="K10" s="193"/>
      <c r="L10" s="193"/>
    </row>
    <row r="11" spans="1:12">
      <c r="A11" s="6">
        <v>2010</v>
      </c>
      <c r="B11" s="7">
        <f t="shared" si="0"/>
        <v>1.8007874015748031E-2</v>
      </c>
      <c r="C11" s="7">
        <f t="shared" si="0"/>
        <v>2.6143482064741905E-2</v>
      </c>
      <c r="D11" s="33">
        <f t="shared" si="0"/>
        <v>4.4151356080489937E-2</v>
      </c>
      <c r="E11" s="36">
        <f t="shared" si="3"/>
        <v>0.66284483062035782</v>
      </c>
      <c r="F11" s="36">
        <f t="shared" si="1"/>
        <v>0.16310993418746833</v>
      </c>
      <c r="G11" s="36">
        <f t="shared" si="2"/>
        <v>8.7014781190597371E-2</v>
      </c>
      <c r="H11"/>
      <c r="J11" s="193"/>
      <c r="K11" s="193"/>
      <c r="L11" s="193"/>
    </row>
    <row r="12" spans="1:12">
      <c r="A12" s="6">
        <v>2011</v>
      </c>
      <c r="B12" s="7">
        <f t="shared" si="0"/>
        <v>2.1097935880544576E-2</v>
      </c>
      <c r="C12" s="7">
        <f t="shared" si="0"/>
        <v>3.5580149319279761E-2</v>
      </c>
      <c r="D12" s="33">
        <f t="shared" si="0"/>
        <v>5.6678085199824341E-2</v>
      </c>
      <c r="E12" s="36">
        <f t="shared" si="3"/>
        <v>0.73909539555473958</v>
      </c>
      <c r="F12" s="36">
        <f t="shared" si="1"/>
        <v>0.1665227751493594</v>
      </c>
      <c r="G12" s="36">
        <f t="shared" si="2"/>
        <v>9.1600733261780157E-2</v>
      </c>
      <c r="H12"/>
      <c r="J12" s="193"/>
      <c r="K12" s="193"/>
      <c r="L12" s="193"/>
    </row>
    <row r="13" spans="1:12">
      <c r="A13" s="6">
        <v>2012</v>
      </c>
      <c r="B13" s="24">
        <f t="shared" si="0"/>
        <v>2.1911526514700005E-2</v>
      </c>
      <c r="C13" s="25">
        <f t="shared" si="0"/>
        <v>3.1306702244545591E-2</v>
      </c>
      <c r="D13" s="103">
        <f t="shared" si="0"/>
        <v>5.3218228759245596E-2</v>
      </c>
      <c r="E13" s="36">
        <f t="shared" si="3"/>
        <v>0.78392176899554311</v>
      </c>
      <c r="F13" s="36">
        <f t="shared" si="1"/>
        <v>0.1579084711485142</v>
      </c>
      <c r="G13" s="36">
        <f t="shared" si="2"/>
        <v>8.863297234453528E-2</v>
      </c>
      <c r="H13"/>
    </row>
    <row r="14" spans="1:12">
      <c r="A14" s="6">
        <v>2013</v>
      </c>
      <c r="B14" s="24">
        <f t="shared" si="0"/>
        <v>1.888160315090134E-2</v>
      </c>
      <c r="C14" s="24">
        <f t="shared" si="0"/>
        <v>2.8798502456231469E-2</v>
      </c>
      <c r="D14" s="103">
        <f t="shared" si="0"/>
        <v>4.768010560713281E-2</v>
      </c>
      <c r="E14" s="36">
        <f t="shared" si="3"/>
        <v>0.83997331300038114</v>
      </c>
      <c r="F14" s="36">
        <f t="shared" si="1"/>
        <v>0.15730842466677661</v>
      </c>
      <c r="G14" s="36">
        <f t="shared" si="2"/>
        <v>9.3946150195646533E-2</v>
      </c>
      <c r="H14"/>
    </row>
    <row r="15" spans="1:12">
      <c r="A15" s="6">
        <v>2014</v>
      </c>
      <c r="B15" s="24">
        <f t="shared" si="0"/>
        <v>1.9206906001644285E-2</v>
      </c>
      <c r="C15" s="24">
        <f t="shared" si="0"/>
        <v>3.0324472458207727E-2</v>
      </c>
      <c r="D15" s="103">
        <f t="shared" si="0"/>
        <v>4.9531378459852012E-2</v>
      </c>
      <c r="E15" s="36">
        <f t="shared" si="3"/>
        <v>0.87792833256705682</v>
      </c>
      <c r="F15" s="36">
        <f t="shared" si="1"/>
        <v>0.16227089852481</v>
      </c>
      <c r="G15" s="36">
        <f t="shared" si="2"/>
        <v>9.9852147302547878E-2</v>
      </c>
      <c r="H15"/>
    </row>
    <row r="16" spans="1:12">
      <c r="A16" s="6">
        <v>2015</v>
      </c>
      <c r="B16" s="24">
        <f t="shared" si="0"/>
        <v>2.1238392516414375E-2</v>
      </c>
      <c r="C16" s="24">
        <f t="shared" si="0"/>
        <v>3.1771969822988931E-2</v>
      </c>
      <c r="D16" s="24">
        <f t="shared" si="0"/>
        <v>5.3010362339403302E-2</v>
      </c>
      <c r="E16" s="36">
        <f t="shared" si="3"/>
        <v>1.0783240445859872</v>
      </c>
      <c r="F16" s="36">
        <f t="shared" si="1"/>
        <v>0.13821943435677342</v>
      </c>
      <c r="G16" s="36">
        <f t="shared" si="2"/>
        <v>8.9146771002457562E-2</v>
      </c>
      <c r="H16"/>
    </row>
    <row r="17" spans="1:21">
      <c r="A17" s="6">
        <v>2016</v>
      </c>
      <c r="B17" s="24">
        <f t="shared" si="0"/>
        <v>2.0412538748090511E-2</v>
      </c>
      <c r="C17" s="24">
        <f t="shared" si="0"/>
        <v>2.7836092227155374E-2</v>
      </c>
      <c r="D17" s="103">
        <f t="shared" si="0"/>
        <v>4.8248630975245885E-2</v>
      </c>
      <c r="E17" s="36">
        <f t="shared" si="3"/>
        <v>1.0165631469979297</v>
      </c>
      <c r="F17" s="36">
        <f t="shared" si="1"/>
        <v>0.14353834308176527</v>
      </c>
      <c r="G17" s="36">
        <f t="shared" si="2"/>
        <v>9.2345395765981858E-2</v>
      </c>
      <c r="H17"/>
      <c r="I17" s="22"/>
    </row>
    <row r="18" spans="1:21">
      <c r="A18" s="6">
        <v>2017</v>
      </c>
      <c r="B18" s="24">
        <f t="shared" ref="B18:D23" si="4">I46</f>
        <v>1.830109851474224E-2</v>
      </c>
      <c r="C18" s="24">
        <f t="shared" si="4"/>
        <v>2.2759489977969862E-2</v>
      </c>
      <c r="D18" s="103">
        <f t="shared" si="4"/>
        <v>4.1060588492712102E-2</v>
      </c>
      <c r="E18" s="36">
        <f t="shared" si="3"/>
        <v>0.88169624929724522</v>
      </c>
      <c r="F18" s="36">
        <f t="shared" si="1"/>
        <v>0.16191367898152123</v>
      </c>
      <c r="G18" s="36">
        <f t="shared" si="2"/>
        <v>0.10109859772485527</v>
      </c>
      <c r="H18"/>
      <c r="I18" s="22"/>
    </row>
    <row r="19" spans="1:21">
      <c r="A19" s="6">
        <v>2018</v>
      </c>
      <c r="B19" s="24">
        <f t="shared" si="4"/>
        <v>2.1696551449029659E-2</v>
      </c>
      <c r="C19" s="24">
        <f t="shared" si="4"/>
        <v>3.8338951273510585E-2</v>
      </c>
      <c r="D19" s="103">
        <f t="shared" si="4"/>
        <v>6.003550272254024E-2</v>
      </c>
      <c r="E19" s="36">
        <f>(D47+E47)/C47</f>
        <v>0.98507658070428061</v>
      </c>
      <c r="F19" s="36">
        <f t="shared" si="1"/>
        <v>0.18484731161980353</v>
      </c>
      <c r="G19" s="36">
        <f t="shared" si="2"/>
        <v>0.11522826177133849</v>
      </c>
      <c r="H19"/>
      <c r="I19" s="22"/>
    </row>
    <row r="20" spans="1:21">
      <c r="A20" s="6">
        <v>2019</v>
      </c>
      <c r="B20" s="24">
        <f t="shared" si="4"/>
        <v>1.810708250020119E-2</v>
      </c>
      <c r="C20" s="24">
        <f t="shared" si="4"/>
        <v>2.7179195116968657E-2</v>
      </c>
      <c r="D20" s="103">
        <f t="shared" si="4"/>
        <v>4.5286277617169843E-2</v>
      </c>
      <c r="E20" s="36">
        <f>(D48+E48)/C48</f>
        <v>0.9308436187810154</v>
      </c>
      <c r="F20" s="36">
        <f t="shared" si="1"/>
        <v>0.18456588619337264</v>
      </c>
      <c r="G20" s="36">
        <f t="shared" si="2"/>
        <v>0.11287774330690567</v>
      </c>
      <c r="H20"/>
      <c r="I20" s="22"/>
    </row>
    <row r="21" spans="1:21">
      <c r="A21" s="6">
        <v>2020</v>
      </c>
      <c r="B21" s="24">
        <f t="shared" si="4"/>
        <v>1.5175436027550072E-2</v>
      </c>
      <c r="C21" s="24">
        <f t="shared" si="4"/>
        <v>1.6416094481732233E-2</v>
      </c>
      <c r="D21" s="103">
        <f t="shared" si="4"/>
        <v>3.1591530509282303E-2</v>
      </c>
      <c r="E21" s="36">
        <f>(D49+E49)/C49</f>
        <v>0.84902690326273611</v>
      </c>
      <c r="F21" s="36">
        <f t="shared" si="1"/>
        <v>0.15282668124658283</v>
      </c>
      <c r="G21" s="36">
        <f t="shared" si="2"/>
        <v>0.10245357847126006</v>
      </c>
      <c r="H21"/>
      <c r="I21" s="22"/>
    </row>
    <row r="22" spans="1:21">
      <c r="A22" s="6">
        <v>2021</v>
      </c>
      <c r="B22" s="24">
        <f t="shared" si="4"/>
        <v>1.2725075427281386E-2</v>
      </c>
      <c r="C22" s="24">
        <f t="shared" si="4"/>
        <v>2.1948394731210318E-2</v>
      </c>
      <c r="D22" s="103">
        <f t="shared" si="4"/>
        <v>3.4673470158491704E-2</v>
      </c>
      <c r="E22" s="36">
        <f>(D50+E50)/C50</f>
        <v>0.80477233990747499</v>
      </c>
      <c r="F22" s="36">
        <f t="shared" si="1"/>
        <v>0.22139684319475592</v>
      </c>
      <c r="G22" s="36">
        <f t="shared" si="2"/>
        <v>0.13589438157633513</v>
      </c>
      <c r="H22"/>
      <c r="I22" s="22"/>
    </row>
    <row r="23" spans="1:21" ht="15" thickBot="1">
      <c r="A23" s="6">
        <v>2022</v>
      </c>
      <c r="B23" s="24">
        <f t="shared" si="4"/>
        <v>1.744497981508009E-2</v>
      </c>
      <c r="C23" s="24">
        <f t="shared" si="4"/>
        <v>2.8511524938142987E-2</v>
      </c>
      <c r="D23" s="103">
        <f t="shared" si="4"/>
        <v>4.5956504753223076E-2</v>
      </c>
      <c r="E23" s="36">
        <f>(D51+E51)/C51</f>
        <v>0.88735227558461149</v>
      </c>
      <c r="F23" s="36">
        <f t="shared" si="1"/>
        <v>0.19726791135096525</v>
      </c>
      <c r="G23" s="36">
        <f t="shared" si="2"/>
        <v>0.11597254218111194</v>
      </c>
      <c r="H23"/>
      <c r="I23" s="22"/>
    </row>
    <row r="24" spans="1:21" ht="15" thickBot="1">
      <c r="A24" s="9" t="s">
        <v>14</v>
      </c>
      <c r="B24" s="8"/>
      <c r="C24" s="8"/>
      <c r="D24" s="34">
        <f>AVERAGE(D14:D23)</f>
        <v>4.5707435163505325E-2</v>
      </c>
      <c r="E24" s="34">
        <f>AVERAGE(E14:E23)</f>
        <v>0.91515568046887164</v>
      </c>
      <c r="F24" s="34">
        <f>AVERAGE(F14:F23)</f>
        <v>0.17041554132171266</v>
      </c>
      <c r="G24" s="34">
        <f>AVERAGE(G14:G23)</f>
        <v>0.10588155692984405</v>
      </c>
      <c r="H24" t="s">
        <v>172</v>
      </c>
    </row>
    <row r="25" spans="1:21" ht="15" thickBot="1">
      <c r="A25" s="11" t="s">
        <v>15</v>
      </c>
      <c r="B25" s="8"/>
      <c r="C25" s="8"/>
      <c r="D25" s="35">
        <f>AVERAGE(D19:D23)</f>
        <v>4.3508657152141431E-2</v>
      </c>
      <c r="E25" s="35">
        <f>AVERAGE(E19:E23)</f>
        <v>0.89141434364802374</v>
      </c>
      <c r="F25" s="35">
        <f>AVERAGE(F19:F23)</f>
        <v>0.18818092672109604</v>
      </c>
      <c r="G25" s="35">
        <f>AVERAGE(G19:G23)</f>
        <v>0.11648530146139027</v>
      </c>
      <c r="H25" t="s">
        <v>172</v>
      </c>
    </row>
    <row r="26" spans="1:21" s="56" customFormat="1" ht="15" thickBot="1">
      <c r="A26" s="6"/>
      <c r="B26" s="6"/>
      <c r="C26" s="6"/>
      <c r="D26" s="6"/>
      <c r="E26" s="6"/>
      <c r="F26" s="6"/>
      <c r="G26" s="6"/>
      <c r="H26" s="6"/>
      <c r="I26" s="6"/>
      <c r="J26" s="6"/>
      <c r="K26" s="6"/>
      <c r="L26" s="6"/>
      <c r="M26" s="6"/>
      <c r="N26" s="6"/>
      <c r="O26" s="6"/>
      <c r="P26" s="6"/>
      <c r="Q26" s="6"/>
      <c r="R26" s="6"/>
      <c r="S26" s="6"/>
      <c r="T26" s="6"/>
      <c r="U26" s="6"/>
    </row>
    <row r="27" spans="1:21" ht="15" thickBot="1">
      <c r="A27" s="22" t="s">
        <v>21</v>
      </c>
      <c r="D27" s="50">
        <v>4288.05</v>
      </c>
      <c r="E27" s="22" t="s">
        <v>79</v>
      </c>
      <c r="J27" s="28" t="s">
        <v>25</v>
      </c>
      <c r="M27" s="6" t="s">
        <v>26</v>
      </c>
      <c r="N27" s="29">
        <v>43738</v>
      </c>
    </row>
    <row r="28" spans="1:21">
      <c r="T28" s="56"/>
      <c r="U28" s="56"/>
    </row>
    <row r="29" spans="1:21" ht="45">
      <c r="A29" s="55" t="s">
        <v>173</v>
      </c>
      <c r="B29" s="55" t="s">
        <v>174</v>
      </c>
      <c r="C29" s="55" t="s">
        <v>27</v>
      </c>
      <c r="D29" s="55" t="s">
        <v>175</v>
      </c>
      <c r="E29" s="55" t="s">
        <v>176</v>
      </c>
      <c r="F29" s="55" t="s">
        <v>56</v>
      </c>
      <c r="G29" s="55" t="s">
        <v>177</v>
      </c>
      <c r="H29" s="55" t="s">
        <v>66</v>
      </c>
      <c r="I29" s="55" t="s">
        <v>178</v>
      </c>
      <c r="J29" s="55" t="s">
        <v>179</v>
      </c>
      <c r="K29" s="55" t="s">
        <v>57</v>
      </c>
      <c r="L29" s="55" t="s">
        <v>58</v>
      </c>
      <c r="M29" s="55" t="s">
        <v>29</v>
      </c>
      <c r="N29" s="55" t="s">
        <v>31</v>
      </c>
      <c r="O29" s="55" t="s">
        <v>30</v>
      </c>
      <c r="P29" s="56" t="s">
        <v>45</v>
      </c>
      <c r="Q29" s="56" t="s">
        <v>46</v>
      </c>
      <c r="R29" s="56"/>
      <c r="S29" s="56"/>
    </row>
    <row r="30" spans="1:21" ht="16">
      <c r="A30" s="10">
        <v>2001</v>
      </c>
      <c r="B30" s="12">
        <v>1148.0899999999999</v>
      </c>
      <c r="C30" s="30">
        <v>38.85</v>
      </c>
      <c r="D30" s="13">
        <f t="shared" ref="D30:D36" si="5">I30*B30</f>
        <v>15.74</v>
      </c>
      <c r="E30" s="13">
        <f t="shared" ref="E30:E36" si="6">J30*B30</f>
        <v>14.339957999999999</v>
      </c>
      <c r="F30" s="13"/>
      <c r="G30" s="13">
        <f t="shared" ref="G30:G41" si="7">D30+E30</f>
        <v>30.079957999999998</v>
      </c>
      <c r="H30" s="13"/>
      <c r="I30" s="7">
        <v>1.3709726589378883E-2</v>
      </c>
      <c r="J30" s="7">
        <v>1.2490273410621118E-2</v>
      </c>
      <c r="K30" s="7">
        <v>2.6200000000000001E-2</v>
      </c>
      <c r="L30" s="7"/>
      <c r="M30" s="10">
        <v>325.8</v>
      </c>
      <c r="N30" s="36">
        <f>C30/M30</f>
        <v>0.11924493554327809</v>
      </c>
      <c r="O30" s="10">
        <v>736.88</v>
      </c>
      <c r="P30" s="88">
        <v>1.6E-2</v>
      </c>
      <c r="Q30" s="42">
        <f>C30*(1+P31)*(1+P32)*(1+P33)*(1+P34)*(1+P35)*(1+P36)*(1+P37)*(1+P38)*(1+P39)*(1+P40)*(1+P41)*(1+P42)*(1+P43)*(1+P44)*(1+P45)*(1+P46)*(1+P47)*(1+P48)*(1+P49)*(1+P50)*(1+P51)</f>
        <v>65.753535755025396</v>
      </c>
      <c r="S30"/>
    </row>
    <row r="31" spans="1:21" ht="16">
      <c r="A31" s="10">
        <v>2002</v>
      </c>
      <c r="B31" s="12">
        <v>879.82</v>
      </c>
      <c r="C31" s="31">
        <v>46.04</v>
      </c>
      <c r="D31" s="13">
        <f t="shared" si="5"/>
        <v>15.96</v>
      </c>
      <c r="E31" s="13">
        <f t="shared" si="6"/>
        <v>13.865898</v>
      </c>
      <c r="F31" s="13"/>
      <c r="G31" s="13">
        <f t="shared" si="7"/>
        <v>29.825898000000002</v>
      </c>
      <c r="H31" s="13"/>
      <c r="I31" s="7">
        <v>1.8140074106067151E-2</v>
      </c>
      <c r="J31" s="7">
        <v>1.5759925893932849E-2</v>
      </c>
      <c r="K31" s="7">
        <v>3.39E-2</v>
      </c>
      <c r="L31" s="7"/>
      <c r="M31" s="10">
        <v>338.37</v>
      </c>
      <c r="N31" s="36">
        <f t="shared" ref="N31:N52" si="8">C31/M31</f>
        <v>0.13606407187398409</v>
      </c>
      <c r="O31" s="10">
        <v>674.59</v>
      </c>
      <c r="P31" s="88">
        <v>2.4799999999999999E-2</v>
      </c>
      <c r="Q31" s="42">
        <f>C31*(1+P32)*(1+P33)*(1+P34)*(1+P35)*(1+P36)*(1+P37)*(1+P38)*(1+P39)*(1+P40)*(1+P41)*(1+P42)*(1+P43)*(1+P44)*(1+P45)*(1+P46)*(1+P47)*(1+P48)*(1+P49)*(1+P50)*(1+P51)</f>
        <v>76.036879623719656</v>
      </c>
      <c r="S31"/>
    </row>
    <row r="32" spans="1:21" ht="16">
      <c r="A32" s="10">
        <v>2003</v>
      </c>
      <c r="B32" s="12">
        <v>1111.9100000000001</v>
      </c>
      <c r="C32" s="31">
        <v>54.69</v>
      </c>
      <c r="D32" s="13">
        <f t="shared" si="5"/>
        <v>17.88</v>
      </c>
      <c r="E32" s="13">
        <f t="shared" si="6"/>
        <v>13.698244000000004</v>
      </c>
      <c r="F32" s="13"/>
      <c r="G32" s="13">
        <f t="shared" si="7"/>
        <v>31.578244000000005</v>
      </c>
      <c r="H32" s="13"/>
      <c r="I32" s="7">
        <v>1.6080438164959392E-2</v>
      </c>
      <c r="J32" s="7">
        <v>1.2319561835040609E-2</v>
      </c>
      <c r="K32" s="7">
        <v>2.8400000000000002E-2</v>
      </c>
      <c r="L32" s="7"/>
      <c r="M32" s="10">
        <v>325.72000000000003</v>
      </c>
      <c r="N32" s="36">
        <f t="shared" si="8"/>
        <v>0.1679049490359818</v>
      </c>
      <c r="O32" s="10">
        <v>710.81</v>
      </c>
      <c r="P32" s="88">
        <v>2.0400000000000001E-2</v>
      </c>
      <c r="Q32" s="42">
        <f>C32*(1+P33)*(1+P34)*(1+P35)*(1+P36)*(1+P37)*(1+P38)*(1+P39)*(1+P40)*(1+P41)*(1+P42)*(1+P43)*(1+P44)*(1+P45)*(1+P46)*(1+P47)*(1+P48)*(1+P49)*(1+P50)*(1+P51)</f>
        <v>88.516950700523111</v>
      </c>
      <c r="S32"/>
    </row>
    <row r="33" spans="1:22" ht="16">
      <c r="A33" s="10">
        <v>2004</v>
      </c>
      <c r="B33" s="12">
        <v>1211.92</v>
      </c>
      <c r="C33" s="31">
        <v>67.680000000000007</v>
      </c>
      <c r="D33" s="13">
        <f t="shared" si="5"/>
        <v>19.010000000000002</v>
      </c>
      <c r="E33" s="13">
        <f t="shared" si="6"/>
        <v>21.589320000000001</v>
      </c>
      <c r="F33" s="13"/>
      <c r="G33" s="13">
        <f t="shared" si="7"/>
        <v>40.599320000000006</v>
      </c>
      <c r="H33" s="13"/>
      <c r="I33" s="7">
        <v>1.568585385173939E-2</v>
      </c>
      <c r="J33" s="7">
        <v>1.7814146148260612E-2</v>
      </c>
      <c r="K33" s="7">
        <v>3.3500000000000002E-2</v>
      </c>
      <c r="L33" s="7"/>
      <c r="M33" s="10">
        <v>367.17</v>
      </c>
      <c r="N33" s="36">
        <f t="shared" si="8"/>
        <v>0.18432878503145683</v>
      </c>
      <c r="O33" s="10">
        <v>788.17</v>
      </c>
      <c r="P33" s="88">
        <v>3.3399999999999999E-2</v>
      </c>
      <c r="Q33" s="42">
        <f>C33*(1+P34)*(1+P35)*(1+P36)*(1+P37)*(1+P38)*(1+P39)*(1+P40)*(1+P41)*(1+P42)*(1+P43)*(1+P44)*(1+P45)*(1+P46)*(1+P47)*(1+P48)*(1+P49)*(1+P50)*(1+P51)</f>
        <v>106.00111024655293</v>
      </c>
      <c r="S33"/>
    </row>
    <row r="34" spans="1:22" ht="16">
      <c r="A34" s="10">
        <v>2005</v>
      </c>
      <c r="B34" s="12">
        <v>1248.29</v>
      </c>
      <c r="C34" s="31">
        <v>76.45</v>
      </c>
      <c r="D34" s="13">
        <f t="shared" si="5"/>
        <v>22.344390999999998</v>
      </c>
      <c r="E34" s="13">
        <f t="shared" si="6"/>
        <v>38.821818999999998</v>
      </c>
      <c r="F34" s="13"/>
      <c r="G34" s="13">
        <f t="shared" si="7"/>
        <v>61.166209999999992</v>
      </c>
      <c r="H34" s="13"/>
      <c r="I34" s="7">
        <v>1.7899999999999999E-2</v>
      </c>
      <c r="J34" s="7">
        <v>3.1099999999999999E-2</v>
      </c>
      <c r="K34" s="7">
        <v>4.9000000000000002E-2</v>
      </c>
      <c r="L34" s="7"/>
      <c r="M34" s="10">
        <v>414.75</v>
      </c>
      <c r="N34" s="36">
        <f t="shared" si="8"/>
        <v>0.18432790837854129</v>
      </c>
      <c r="O34" s="10">
        <v>874.32</v>
      </c>
      <c r="P34" s="88">
        <v>3.3399999999999999E-2</v>
      </c>
      <c r="Q34" s="42">
        <f>C34*(1+P35)*(1+P36)*(1+P37)*(1+P38)*(1+P39)*(1+P40)*(1+P41)*(1+P42)*(1+P43)*(1+P44)*(1+P45)*(1+P46)*(1+P47)*(1+P48)*(1+P49)*(1+P50)*(1+P51)</f>
        <v>115.86682234109141</v>
      </c>
      <c r="S34"/>
    </row>
    <row r="35" spans="1:22" ht="16">
      <c r="A35" s="10">
        <v>2006</v>
      </c>
      <c r="B35" s="12">
        <v>1418.3</v>
      </c>
      <c r="C35" s="31">
        <v>87.72</v>
      </c>
      <c r="D35" s="13">
        <f t="shared" si="5"/>
        <v>25.042259800455653</v>
      </c>
      <c r="E35" s="13">
        <f t="shared" si="6"/>
        <v>48.115679864875482</v>
      </c>
      <c r="F35" s="13"/>
      <c r="G35" s="13">
        <f t="shared" si="7"/>
        <v>73.157939665331128</v>
      </c>
      <c r="H35" s="13"/>
      <c r="I35" s="7">
        <v>1.765653232775552E-2</v>
      </c>
      <c r="J35" s="7">
        <v>3.3924895906984054E-2</v>
      </c>
      <c r="K35" s="7">
        <v>5.16E-2</v>
      </c>
      <c r="L35" s="7"/>
      <c r="M35" s="10">
        <v>453.06</v>
      </c>
      <c r="N35" s="36">
        <f t="shared" si="8"/>
        <v>0.19361673950470137</v>
      </c>
      <c r="O35" s="10">
        <v>952.51</v>
      </c>
      <c r="P35" s="88">
        <v>2.52E-2</v>
      </c>
      <c r="Q35" s="42">
        <f>C35*(1+P36)*(1+P37)*(1+P38)*(1+P39)*(1+P40)*(1+P41)*(1+P42)*(1+P43)*(1+P44)*(1+P45)*(1+P46)*(1+P46)*(1+P47)*(1+P48)*(1+P49)*(1+P50)*(1+P51)</f>
        <v>132.41583042957856</v>
      </c>
      <c r="S35"/>
    </row>
    <row r="36" spans="1:22" ht="16">
      <c r="A36" s="10">
        <v>2007</v>
      </c>
      <c r="B36" s="16">
        <v>1468.36</v>
      </c>
      <c r="C36" s="31">
        <v>82.54</v>
      </c>
      <c r="D36" s="13">
        <f t="shared" si="5"/>
        <v>28.138241560460056</v>
      </c>
      <c r="E36" s="13">
        <f t="shared" si="6"/>
        <v>67.224140752253646</v>
      </c>
      <c r="F36" s="13"/>
      <c r="G36" s="13">
        <f t="shared" si="7"/>
        <v>95.362382312713706</v>
      </c>
      <c r="H36" s="13"/>
      <c r="I36" s="7">
        <v>1.9163040099471559E-2</v>
      </c>
      <c r="J36" s="7">
        <v>4.5781784271059993E-2</v>
      </c>
      <c r="K36" s="7">
        <f>G36/B36</f>
        <v>6.4944824370531548E-2</v>
      </c>
      <c r="L36" s="7"/>
      <c r="M36" s="10">
        <v>504.39</v>
      </c>
      <c r="N36" s="36">
        <f t="shared" si="8"/>
        <v>0.1636432125934297</v>
      </c>
      <c r="O36" s="10">
        <v>1025.08</v>
      </c>
      <c r="P36" s="88">
        <v>4.1099999999999998E-2</v>
      </c>
      <c r="Q36" s="42">
        <f>C36*(1+P37)*(1+P38)*(1+P39)*(1+P40)*(1+P41)*(1+P42)*(1+P43)*(1+P44)*(1+P45)*(1+P46)*(1+P47)*(1+P48)*(1+P49)*(1+P50)*(1+P51)</f>
        <v>117.20469994169764</v>
      </c>
      <c r="S36"/>
    </row>
    <row r="37" spans="1:22" ht="16">
      <c r="A37" s="10">
        <v>2008</v>
      </c>
      <c r="B37" s="12">
        <v>903.25</v>
      </c>
      <c r="C37" s="30">
        <v>49.51</v>
      </c>
      <c r="D37" s="13">
        <f>F69*E69</f>
        <v>28.446853349465105</v>
      </c>
      <c r="E37" s="13">
        <f>G69*E69</f>
        <v>39.070278909831892</v>
      </c>
      <c r="F37" s="13"/>
      <c r="G37" s="13">
        <f t="shared" si="7"/>
        <v>67.517132259297</v>
      </c>
      <c r="H37" s="13"/>
      <c r="I37" s="7">
        <f t="shared" ref="I37:I52" si="9">D37/B37</f>
        <v>3.1493886907794193E-2</v>
      </c>
      <c r="J37" s="7">
        <f t="shared" ref="J37:J52" si="10">E37/B37</f>
        <v>4.3255221599592462E-2</v>
      </c>
      <c r="K37" s="7">
        <f t="shared" ref="K37:K52" si="11">I37+J37</f>
        <v>7.4749108507386655E-2</v>
      </c>
      <c r="L37" s="7"/>
      <c r="M37" s="10">
        <v>529.59</v>
      </c>
      <c r="N37" s="36">
        <f t="shared" si="8"/>
        <v>9.3487414792575385E-2</v>
      </c>
      <c r="O37" s="10">
        <v>1042.46</v>
      </c>
      <c r="P37" s="88">
        <v>-2.0000000000000001E-4</v>
      </c>
      <c r="Q37" s="42">
        <f>C37*(1+P38)*(1+P39)*(1+P40)*(1+P41)*(1+P42)*(1+P43)*(1+P44)*(1+P45)*(1+P46)*(1+P47)*(1+P48)*(1+P49)*(1+P50)*(1+P51)</f>
        <v>70.317003721963786</v>
      </c>
      <c r="S37"/>
    </row>
    <row r="38" spans="1:22" ht="16">
      <c r="A38" s="10">
        <v>2009</v>
      </c>
      <c r="B38" s="12">
        <v>1115</v>
      </c>
      <c r="C38" s="31">
        <v>56.86</v>
      </c>
      <c r="D38" s="13">
        <f>F68*E68</f>
        <v>21.968689564867041</v>
      </c>
      <c r="E38" s="13">
        <f>G68*E68</f>
        <v>15.459281829170026</v>
      </c>
      <c r="F38" s="13"/>
      <c r="G38" s="13">
        <f t="shared" si="7"/>
        <v>37.427971394037066</v>
      </c>
      <c r="H38" s="13"/>
      <c r="I38" s="7">
        <f t="shared" si="9"/>
        <v>1.9702860596293312E-2</v>
      </c>
      <c r="J38" s="7">
        <f t="shared" si="10"/>
        <v>1.3864826752618856E-2</v>
      </c>
      <c r="K38" s="7">
        <f t="shared" si="11"/>
        <v>3.3567687348912169E-2</v>
      </c>
      <c r="L38" s="7"/>
      <c r="M38" s="10">
        <v>451.37</v>
      </c>
      <c r="N38" s="36">
        <f t="shared" si="8"/>
        <v>0.12597204067616369</v>
      </c>
      <c r="O38" s="10">
        <v>908.4</v>
      </c>
      <c r="P38" s="88">
        <v>2.81E-2</v>
      </c>
      <c r="Q38" s="42">
        <f>C38*(1+P39)*(1+P40)*(1+P41)*(1+P42)*(1+P43)*(1+P44)*(1+P45)*(1+P46)*(1+P47)*(1+P48)*(1+P49)*(1+P50)*(1+P51)</f>
        <v>78.54868640860299</v>
      </c>
      <c r="S38"/>
    </row>
    <row r="39" spans="1:22" ht="16">
      <c r="A39" s="10">
        <v>2010</v>
      </c>
      <c r="B39" s="14">
        <v>1257.6400000000001</v>
      </c>
      <c r="C39" s="31">
        <v>83.77</v>
      </c>
      <c r="D39" s="14">
        <f>F67*E67</f>
        <v>22.647422677165356</v>
      </c>
      <c r="E39" s="14">
        <f>G67*E67</f>
        <v>32.879088783902013</v>
      </c>
      <c r="F39" s="14"/>
      <c r="G39" s="13">
        <f t="shared" si="7"/>
        <v>55.526511461067372</v>
      </c>
      <c r="H39" s="13"/>
      <c r="I39" s="7">
        <f t="shared" si="9"/>
        <v>1.8007874015748031E-2</v>
      </c>
      <c r="J39" s="7">
        <f t="shared" si="10"/>
        <v>2.6143482064741905E-2</v>
      </c>
      <c r="K39" s="7">
        <f t="shared" si="11"/>
        <v>4.4151356080489937E-2</v>
      </c>
      <c r="L39" s="7"/>
      <c r="M39" s="10">
        <v>513.58000000000004</v>
      </c>
      <c r="N39" s="36">
        <f t="shared" si="8"/>
        <v>0.16310993418746833</v>
      </c>
      <c r="O39" s="10">
        <v>962.71</v>
      </c>
      <c r="P39" s="88">
        <v>1.44E-2</v>
      </c>
      <c r="Q39" s="42">
        <f>C39*(1+P40)*(1+P41)*(1+P42)*(1+P43)*(1+P44)*(1+P45)*(1+P46)*(1+P47)*(1+P48)*(1+P49)*(1+P50)*(1+P51)</f>
        <v>114.08048166287054</v>
      </c>
      <c r="S39"/>
    </row>
    <row r="40" spans="1:22" ht="16">
      <c r="A40" s="10">
        <v>2011</v>
      </c>
      <c r="B40" s="14">
        <v>1257.5999999999999</v>
      </c>
      <c r="C40" s="30">
        <v>96.44</v>
      </c>
      <c r="D40" s="14">
        <f>F66*E66</f>
        <v>26.532764163372857</v>
      </c>
      <c r="E40" s="14">
        <f>G66*E66</f>
        <v>44.74559578392622</v>
      </c>
      <c r="F40" s="14"/>
      <c r="G40" s="14">
        <f t="shared" si="7"/>
        <v>71.27835994729908</v>
      </c>
      <c r="H40" s="14"/>
      <c r="I40" s="7">
        <f t="shared" si="9"/>
        <v>2.1097935880544576E-2</v>
      </c>
      <c r="J40" s="7">
        <f t="shared" si="10"/>
        <v>3.5580149319279761E-2</v>
      </c>
      <c r="K40" s="7">
        <f t="shared" si="11"/>
        <v>5.6678085199824341E-2</v>
      </c>
      <c r="L40" s="7"/>
      <c r="M40" s="10">
        <v>579.14</v>
      </c>
      <c r="N40" s="36">
        <f t="shared" si="8"/>
        <v>0.1665227751493594</v>
      </c>
      <c r="O40" s="10">
        <v>1052.83</v>
      </c>
      <c r="P40" s="88">
        <v>3.0599999999999999E-2</v>
      </c>
      <c r="Q40" s="42">
        <f>C40*(1+P41)*(1+P42)*(1+P43)*(1+P44)*(1+P45)*(1+P46)*(1+P47)*(1+P48)*(1+P49)*(1+P50)*(1+P51)</f>
        <v>127.43534361105084</v>
      </c>
      <c r="S40"/>
    </row>
    <row r="41" spans="1:22" ht="16">
      <c r="A41" s="10">
        <v>2012</v>
      </c>
      <c r="B41" s="16">
        <v>1426.19</v>
      </c>
      <c r="C41" s="31">
        <v>96.82</v>
      </c>
      <c r="D41" s="13">
        <v>31.25</v>
      </c>
      <c r="E41" s="13">
        <f>G65*E65</f>
        <v>44.649305674148479</v>
      </c>
      <c r="F41" s="13"/>
      <c r="G41" s="13">
        <f t="shared" si="7"/>
        <v>75.899305674148479</v>
      </c>
      <c r="H41" s="13"/>
      <c r="I41" s="26">
        <f t="shared" si="9"/>
        <v>2.1911526514700005E-2</v>
      </c>
      <c r="J41" s="26">
        <f t="shared" si="10"/>
        <v>3.1306702244545591E-2</v>
      </c>
      <c r="K41" s="26">
        <f t="shared" si="11"/>
        <v>5.3218228759245596E-2</v>
      </c>
      <c r="L41" s="26"/>
      <c r="M41" s="10">
        <v>613.14</v>
      </c>
      <c r="N41" s="36">
        <f t="shared" si="8"/>
        <v>0.1579084711485142</v>
      </c>
      <c r="O41" s="10">
        <v>1092.3699999999999</v>
      </c>
      <c r="P41" s="88">
        <v>1.7600000000000001E-2</v>
      </c>
      <c r="Q41" s="42">
        <f>C41*(1+P42)*(1+P43)*(1+P44)*(1+P45)*(1+P46)*(1+P47)*(1+P48)*(1+P49)*(1+P50)*(1+P51)</f>
        <v>125.72471870057885</v>
      </c>
      <c r="S41"/>
    </row>
    <row r="42" spans="1:22" ht="16">
      <c r="A42" s="10">
        <v>2013</v>
      </c>
      <c r="B42" s="16">
        <v>1848.36</v>
      </c>
      <c r="C42" s="31">
        <v>104.92</v>
      </c>
      <c r="D42" s="13">
        <v>34.9</v>
      </c>
      <c r="E42" s="13">
        <v>53.23</v>
      </c>
      <c r="F42" s="13"/>
      <c r="G42" s="13">
        <v>88.13</v>
      </c>
      <c r="H42" s="13"/>
      <c r="I42" s="26">
        <f t="shared" si="9"/>
        <v>1.888160315090134E-2</v>
      </c>
      <c r="J42" s="26">
        <f t="shared" si="10"/>
        <v>2.8798502456231469E-2</v>
      </c>
      <c r="K42" s="26">
        <f t="shared" si="11"/>
        <v>4.768010560713281E-2</v>
      </c>
      <c r="L42" s="26"/>
      <c r="M42" s="10">
        <v>666.97</v>
      </c>
      <c r="N42" s="36">
        <f t="shared" si="8"/>
        <v>0.15730842466677661</v>
      </c>
      <c r="O42" s="10">
        <v>1116.81</v>
      </c>
      <c r="P42" s="88">
        <v>1.5100000000000001E-2</v>
      </c>
      <c r="Q42" s="42">
        <f>C42*(1+P43)*(1+P44)*(1+P45)*(1+P46)*(1+P47)*(1+P48)*(1+P49)*(1+P50)*(1+P51)</f>
        <v>134.21623391828561</v>
      </c>
      <c r="S42"/>
      <c r="U42"/>
    </row>
    <row r="43" spans="1:22" ht="16">
      <c r="A43" s="10">
        <v>2014</v>
      </c>
      <c r="B43" s="16">
        <v>2058.9</v>
      </c>
      <c r="C43" s="30">
        <v>116.16</v>
      </c>
      <c r="D43" s="13">
        <f>F63*E63</f>
        <v>39.545098766785422</v>
      </c>
      <c r="E43" s="13">
        <f>G63*E63</f>
        <v>62.435056344203893</v>
      </c>
      <c r="F43" s="13">
        <v>9.58</v>
      </c>
      <c r="G43" s="13">
        <v>101.98</v>
      </c>
      <c r="H43" s="14">
        <f>G43-F43</f>
        <v>92.4</v>
      </c>
      <c r="I43" s="26">
        <f t="shared" si="9"/>
        <v>1.9206906001644285E-2</v>
      </c>
      <c r="J43" s="26">
        <f t="shared" si="10"/>
        <v>3.0324472458207727E-2</v>
      </c>
      <c r="K43" s="26">
        <f t="shared" si="11"/>
        <v>4.9531378459852012E-2</v>
      </c>
      <c r="L43" s="26">
        <f t="shared" ref="L43:L52" si="12">H43/B43</f>
        <v>4.4878333090485209E-2</v>
      </c>
      <c r="M43" s="10">
        <v>715.84</v>
      </c>
      <c r="N43" s="110">
        <f t="shared" si="8"/>
        <v>0.16227089852481</v>
      </c>
      <c r="O43" s="10">
        <v>1163.32</v>
      </c>
      <c r="P43" s="88">
        <v>6.6E-3</v>
      </c>
      <c r="Q43" s="42">
        <f>C43*(1+P44)*(1+P45)*(1+P46)*(1+P47)*(1+P48)*(1+P49)*(1+P50)*(1+P51)</f>
        <v>147.62042244355439</v>
      </c>
      <c r="R43" s="70"/>
      <c r="S43" s="42"/>
      <c r="U43"/>
    </row>
    <row r="44" spans="1:22">
      <c r="A44" s="10">
        <v>2015</v>
      </c>
      <c r="B44" s="13">
        <v>2043.94</v>
      </c>
      <c r="C44" s="13">
        <v>100.48</v>
      </c>
      <c r="D44" s="13">
        <v>43.41</v>
      </c>
      <c r="E44" s="13">
        <v>64.94</v>
      </c>
      <c r="F44" s="13">
        <v>9.43</v>
      </c>
      <c r="G44" s="13">
        <f t="shared" ref="G44:G53" si="13">D44+E44</f>
        <v>108.35</v>
      </c>
      <c r="H44" s="13">
        <f>G44-F44</f>
        <v>98.919999999999987</v>
      </c>
      <c r="I44" s="26">
        <f t="shared" si="9"/>
        <v>2.1238392516414375E-2</v>
      </c>
      <c r="J44" s="26">
        <f t="shared" si="10"/>
        <v>3.1771969822988931E-2</v>
      </c>
      <c r="K44" s="26">
        <f t="shared" si="11"/>
        <v>5.3010362339403302E-2</v>
      </c>
      <c r="L44" s="26">
        <f t="shared" si="12"/>
        <v>4.8396723974284954E-2</v>
      </c>
      <c r="M44" s="10">
        <v>726.96</v>
      </c>
      <c r="N44" s="110">
        <f t="shared" si="8"/>
        <v>0.13821943435677342</v>
      </c>
      <c r="O44" s="10">
        <v>1127.1300000000001</v>
      </c>
      <c r="P44" s="88">
        <v>6.6E-3</v>
      </c>
      <c r="Q44" s="42">
        <f>C44*(1+P45)*(1+P46)*(1+P47)*(1+P48)*(1+P49)*(1+P50)*(1+P51)</f>
        <v>126.85644620785477</v>
      </c>
      <c r="R44" s="70"/>
      <c r="S44" s="42"/>
      <c r="U44"/>
    </row>
    <row r="45" spans="1:22">
      <c r="A45" s="10">
        <v>2016</v>
      </c>
      <c r="B45" s="13">
        <v>2238.8200000000002</v>
      </c>
      <c r="C45" s="14">
        <v>106.26</v>
      </c>
      <c r="D45" s="14">
        <v>45.7</v>
      </c>
      <c r="E45" s="14">
        <v>62.32</v>
      </c>
      <c r="F45" s="14">
        <f>F52</f>
        <v>7.987918613198346</v>
      </c>
      <c r="G45" s="14">
        <f t="shared" si="13"/>
        <v>108.02000000000001</v>
      </c>
      <c r="H45" s="14">
        <v>98.66</v>
      </c>
      <c r="I45" s="111">
        <f t="shared" si="9"/>
        <v>2.0412538748090511E-2</v>
      </c>
      <c r="J45" s="111">
        <f t="shared" si="10"/>
        <v>2.7836092227155374E-2</v>
      </c>
      <c r="K45" s="111">
        <f t="shared" si="11"/>
        <v>4.8248630975245885E-2</v>
      </c>
      <c r="L45" s="26">
        <f t="shared" si="12"/>
        <v>4.40678571747617E-2</v>
      </c>
      <c r="M45" s="112">
        <v>740.29</v>
      </c>
      <c r="N45" s="110">
        <f t="shared" si="8"/>
        <v>0.14353834308176527</v>
      </c>
      <c r="O45" s="112">
        <v>1150.68</v>
      </c>
      <c r="P45" s="88">
        <v>2.0799999999999999E-2</v>
      </c>
      <c r="Q45" s="42">
        <f>C45*(1+P46)*(1+P47)*(1+P48)*(1+P49)*(1+P50)*(1+P51)</f>
        <v>131.42018208803321</v>
      </c>
      <c r="R45" s="70"/>
      <c r="S45" s="42"/>
      <c r="U45"/>
    </row>
    <row r="46" spans="1:22" s="60" customFormat="1">
      <c r="A46" s="10">
        <v>2017</v>
      </c>
      <c r="B46" s="13">
        <v>2673.61</v>
      </c>
      <c r="C46" s="14">
        <v>124.51</v>
      </c>
      <c r="D46" s="14">
        <v>48.93</v>
      </c>
      <c r="E46" s="14">
        <v>60.85</v>
      </c>
      <c r="F46" s="14">
        <v>9.41</v>
      </c>
      <c r="G46" s="14">
        <f t="shared" si="13"/>
        <v>109.78</v>
      </c>
      <c r="H46" s="14">
        <v>100.62</v>
      </c>
      <c r="I46" s="111">
        <f t="shared" si="9"/>
        <v>1.830109851474224E-2</v>
      </c>
      <c r="J46" s="111">
        <f t="shared" si="10"/>
        <v>2.2759489977969862E-2</v>
      </c>
      <c r="K46" s="111">
        <f t="shared" si="11"/>
        <v>4.1060588492712102E-2</v>
      </c>
      <c r="L46" s="26">
        <f t="shared" si="12"/>
        <v>3.7634509146808999E-2</v>
      </c>
      <c r="M46" s="112">
        <v>768.99</v>
      </c>
      <c r="N46" s="110">
        <f t="shared" si="8"/>
        <v>0.16191367898152123</v>
      </c>
      <c r="O46" s="112">
        <v>1231.57</v>
      </c>
      <c r="P46" s="88">
        <v>2.1100000000000001E-2</v>
      </c>
      <c r="Q46" s="42">
        <f>C46*(1+P47)*(1+P48)*(1+P49)*(1+P50)*(1+P51)</f>
        <v>150.80932980201888</v>
      </c>
      <c r="R46" s="70"/>
      <c r="S46" s="42"/>
      <c r="T46" s="6"/>
      <c r="U46"/>
      <c r="V46" s="62">
        <v>42369</v>
      </c>
    </row>
    <row r="47" spans="1:22" s="48" customFormat="1">
      <c r="A47" s="10">
        <v>2018</v>
      </c>
      <c r="B47" s="13">
        <v>2506.85</v>
      </c>
      <c r="C47" s="14">
        <v>152.78</v>
      </c>
      <c r="D47" s="14">
        <v>54.39</v>
      </c>
      <c r="E47" s="14">
        <v>96.11</v>
      </c>
      <c r="F47" s="14">
        <v>8.81</v>
      </c>
      <c r="G47" s="14">
        <f t="shared" si="13"/>
        <v>150.5</v>
      </c>
      <c r="H47" s="14">
        <f t="shared" ref="H47:H53" si="14">G47-F47</f>
        <v>141.69</v>
      </c>
      <c r="I47" s="111">
        <f t="shared" si="9"/>
        <v>2.1696551449029659E-2</v>
      </c>
      <c r="J47" s="111">
        <f t="shared" si="10"/>
        <v>3.8338951273510585E-2</v>
      </c>
      <c r="K47" s="111">
        <f t="shared" si="11"/>
        <v>6.003550272254024E-2</v>
      </c>
      <c r="L47" s="26">
        <f t="shared" si="12"/>
        <v>5.652113209805134E-2</v>
      </c>
      <c r="M47" s="112">
        <v>826.52</v>
      </c>
      <c r="N47" s="110">
        <f t="shared" si="8"/>
        <v>0.18484731161980353</v>
      </c>
      <c r="O47" s="112">
        <v>1325.89</v>
      </c>
      <c r="P47" s="88">
        <v>2.5399999999999999E-2</v>
      </c>
      <c r="Q47" s="42">
        <f>C47*(1+P48)*(1+P49)*(1+P50)*(1+P51)</f>
        <v>180.46673842799797</v>
      </c>
      <c r="R47" s="70"/>
      <c r="S47" s="42"/>
      <c r="T47" s="6"/>
      <c r="U47"/>
    </row>
    <row r="48" spans="1:22">
      <c r="A48" s="10">
        <v>2019</v>
      </c>
      <c r="B48" s="13">
        <v>3230.78</v>
      </c>
      <c r="C48" s="14">
        <v>157.18</v>
      </c>
      <c r="D48" s="14">
        <v>58.5</v>
      </c>
      <c r="E48" s="14">
        <v>87.81</v>
      </c>
      <c r="F48" s="14">
        <v>8.81</v>
      </c>
      <c r="G48" s="14">
        <f t="shared" si="13"/>
        <v>146.31</v>
      </c>
      <c r="H48" s="14">
        <f t="shared" si="14"/>
        <v>137.5</v>
      </c>
      <c r="I48" s="111">
        <f t="shared" si="9"/>
        <v>1.810708250020119E-2</v>
      </c>
      <c r="J48" s="111">
        <f t="shared" si="10"/>
        <v>2.7179195116968657E-2</v>
      </c>
      <c r="K48" s="111">
        <f t="shared" si="11"/>
        <v>4.5286277617169843E-2</v>
      </c>
      <c r="L48" s="26">
        <f t="shared" si="12"/>
        <v>4.2559381944917325E-2</v>
      </c>
      <c r="M48" s="112">
        <v>851.62</v>
      </c>
      <c r="N48" s="110">
        <f t="shared" si="8"/>
        <v>0.18456588619337264</v>
      </c>
      <c r="O48" s="112">
        <v>1392.48</v>
      </c>
      <c r="P48" s="88">
        <v>2.2599999999999999E-2</v>
      </c>
      <c r="Q48" s="42">
        <f>C48*(1+P49)*(1+P50)*(1+P51)</f>
        <v>181.56083013560198</v>
      </c>
      <c r="R48" s="70"/>
      <c r="S48" s="42"/>
      <c r="U48"/>
    </row>
    <row r="49" spans="1:21">
      <c r="A49" s="10">
        <v>2020</v>
      </c>
      <c r="B49" s="13">
        <v>3756.07</v>
      </c>
      <c r="C49" s="14">
        <v>139.76</v>
      </c>
      <c r="D49" s="14">
        <v>57</v>
      </c>
      <c r="E49" s="14">
        <v>61.66</v>
      </c>
      <c r="F49" s="14">
        <v>12.44</v>
      </c>
      <c r="G49" s="14">
        <f t="shared" si="13"/>
        <v>118.66</v>
      </c>
      <c r="H49" s="14">
        <f t="shared" si="14"/>
        <v>106.22</v>
      </c>
      <c r="I49" s="111">
        <f t="shared" si="9"/>
        <v>1.5175436027550072E-2</v>
      </c>
      <c r="J49" s="111">
        <f t="shared" si="10"/>
        <v>1.6416094481732233E-2</v>
      </c>
      <c r="K49" s="111">
        <f t="shared" si="11"/>
        <v>3.1591530509282303E-2</v>
      </c>
      <c r="L49" s="26">
        <f t="shared" si="12"/>
        <v>2.827955815519945E-2</v>
      </c>
      <c r="M49" s="112">
        <v>914.5</v>
      </c>
      <c r="N49" s="110">
        <f t="shared" si="8"/>
        <v>0.15282668124658283</v>
      </c>
      <c r="O49" s="112">
        <v>1364.13</v>
      </c>
      <c r="P49" s="88">
        <v>1.2999999999999999E-2</v>
      </c>
      <c r="Q49" s="42">
        <f>C49*(1+P50)*(1+P51)</f>
        <v>159.36697232799997</v>
      </c>
      <c r="R49" s="70"/>
      <c r="S49" s="42"/>
      <c r="U49"/>
    </row>
    <row r="50" spans="1:21">
      <c r="A50" s="10">
        <v>2021</v>
      </c>
      <c r="B50" s="13">
        <v>4766.18</v>
      </c>
      <c r="C50" s="14">
        <v>205.35</v>
      </c>
      <c r="D50" s="14">
        <v>60.65</v>
      </c>
      <c r="E50" s="14">
        <v>104.61</v>
      </c>
      <c r="F50" s="14">
        <v>8.68</v>
      </c>
      <c r="G50" s="14">
        <f t="shared" si="13"/>
        <v>165.26</v>
      </c>
      <c r="H50" s="14">
        <f t="shared" si="14"/>
        <v>156.57999999999998</v>
      </c>
      <c r="I50" s="111">
        <f t="shared" si="9"/>
        <v>1.2725075427281386E-2</v>
      </c>
      <c r="J50" s="111">
        <f t="shared" si="10"/>
        <v>2.1948394731210318E-2</v>
      </c>
      <c r="K50" s="111">
        <f t="shared" si="11"/>
        <v>3.4673470158491704E-2</v>
      </c>
      <c r="L50" s="26">
        <f t="shared" si="12"/>
        <v>3.2852305200391084E-2</v>
      </c>
      <c r="M50" s="112">
        <v>927.52</v>
      </c>
      <c r="N50" s="110">
        <f t="shared" si="8"/>
        <v>0.22139684319475592</v>
      </c>
      <c r="O50" s="112">
        <v>1511.1</v>
      </c>
      <c r="P50" s="88">
        <v>7.1499999999999994E-2</v>
      </c>
      <c r="Q50" s="42">
        <f>C50*(1+P51)</f>
        <v>218.53346999999999</v>
      </c>
      <c r="R50" s="70"/>
      <c r="S50" s="42"/>
      <c r="T50" s="60"/>
      <c r="U50" s="61" t="s">
        <v>26</v>
      </c>
    </row>
    <row r="51" spans="1:21">
      <c r="A51" s="10">
        <v>2022</v>
      </c>
      <c r="B51" s="13">
        <v>3839.5</v>
      </c>
      <c r="C51" s="14">
        <v>198.85</v>
      </c>
      <c r="D51" s="14">
        <v>66.98</v>
      </c>
      <c r="E51" s="14">
        <v>109.47</v>
      </c>
      <c r="F51" s="14">
        <v>7.73</v>
      </c>
      <c r="G51" s="14">
        <f t="shared" si="13"/>
        <v>176.45</v>
      </c>
      <c r="H51" s="14">
        <f t="shared" si="14"/>
        <v>168.72</v>
      </c>
      <c r="I51" s="111">
        <f t="shared" si="9"/>
        <v>1.744497981508009E-2</v>
      </c>
      <c r="J51" s="111">
        <f t="shared" si="10"/>
        <v>2.8511524938142987E-2</v>
      </c>
      <c r="K51" s="111">
        <f t="shared" si="11"/>
        <v>4.5956504753223076E-2</v>
      </c>
      <c r="L51" s="26">
        <f t="shared" si="12"/>
        <v>4.3943221773668446E-2</v>
      </c>
      <c r="M51" s="112">
        <v>1008.02</v>
      </c>
      <c r="N51" s="110">
        <f t="shared" si="8"/>
        <v>0.19726791135096525</v>
      </c>
      <c r="O51" s="112">
        <v>1714.63</v>
      </c>
      <c r="P51" s="88">
        <v>6.4199999999999993E-2</v>
      </c>
      <c r="Q51" s="42">
        <f>C51</f>
        <v>198.85</v>
      </c>
      <c r="R51" s="70"/>
      <c r="S51" s="42"/>
      <c r="T51" s="48" t="s">
        <v>26</v>
      </c>
      <c r="U51" s="69">
        <v>43008</v>
      </c>
    </row>
    <row r="52" spans="1:21">
      <c r="A52" s="113" t="s">
        <v>61</v>
      </c>
      <c r="B52" s="89">
        <f>D27</f>
        <v>4288.05</v>
      </c>
      <c r="C52" s="89">
        <f>B81*B73</f>
        <v>209.11180095229204</v>
      </c>
      <c r="D52" s="89">
        <f>C81*E55</f>
        <v>69.227897021753336</v>
      </c>
      <c r="E52" s="89">
        <f>D81*E55</f>
        <v>97.587108579964536</v>
      </c>
      <c r="F52" s="89">
        <f>F53</f>
        <v>7.987918613198346</v>
      </c>
      <c r="G52" s="89">
        <f t="shared" si="13"/>
        <v>166.81500560171787</v>
      </c>
      <c r="H52" s="89">
        <f t="shared" si="14"/>
        <v>158.82708698851951</v>
      </c>
      <c r="I52" s="90">
        <f t="shared" si="9"/>
        <v>1.6144377286121506E-2</v>
      </c>
      <c r="J52" s="90">
        <f t="shared" si="10"/>
        <v>2.2757922267689166E-2</v>
      </c>
      <c r="K52" s="90">
        <f t="shared" si="11"/>
        <v>3.8902299553810672E-2</v>
      </c>
      <c r="L52" s="91">
        <f t="shared" si="12"/>
        <v>3.7039467121073567E-2</v>
      </c>
      <c r="M52" s="92">
        <f>M49</f>
        <v>914.5</v>
      </c>
      <c r="N52" s="114">
        <f t="shared" si="8"/>
        <v>0.22866243953230403</v>
      </c>
      <c r="O52" s="92">
        <f>O49</f>
        <v>1364.13</v>
      </c>
      <c r="P52" s="115">
        <v>7.1099999999999997E-2</v>
      </c>
      <c r="Q52" s="116">
        <f>C52</f>
        <v>209.11180095229204</v>
      </c>
      <c r="R52" s="59" t="s">
        <v>25</v>
      </c>
      <c r="S52" s="60"/>
    </row>
    <row r="53" spans="1:21">
      <c r="A53" s="64" t="s">
        <v>63</v>
      </c>
      <c r="B53" s="65"/>
      <c r="C53" s="66">
        <f>B85*F85</f>
        <v>186.04038524421284</v>
      </c>
      <c r="D53" s="66">
        <f>C85*F85</f>
        <v>61.572331457776819</v>
      </c>
      <c r="E53" s="66">
        <f>D85*F85</f>
        <v>90.304020397347628</v>
      </c>
      <c r="F53" s="66">
        <f>E85*F85</f>
        <v>7.987918613198346</v>
      </c>
      <c r="G53" s="67">
        <f t="shared" si="13"/>
        <v>151.87635185512445</v>
      </c>
      <c r="H53" s="67">
        <f t="shared" si="14"/>
        <v>143.88843324192612</v>
      </c>
      <c r="I53" s="48"/>
      <c r="J53" s="48"/>
      <c r="K53" s="48"/>
      <c r="L53" s="48"/>
      <c r="M53" s="48"/>
      <c r="N53" s="48"/>
      <c r="O53" s="48"/>
      <c r="P53" s="48"/>
      <c r="Q53" s="68" t="s">
        <v>62</v>
      </c>
      <c r="R53" s="48"/>
      <c r="S53" s="48"/>
    </row>
    <row r="54" spans="1:21">
      <c r="B54" s="10" t="s">
        <v>128</v>
      </c>
      <c r="C54" s="10" t="s">
        <v>20</v>
      </c>
      <c r="D54" s="10" t="s">
        <v>18</v>
      </c>
      <c r="E54" s="10" t="s">
        <v>19</v>
      </c>
      <c r="F54" s="10" t="s">
        <v>175</v>
      </c>
      <c r="G54" s="10" t="s">
        <v>176</v>
      </c>
      <c r="M54" s="42"/>
    </row>
    <row r="55" spans="1:21">
      <c r="B55" s="10">
        <v>2023</v>
      </c>
      <c r="C55" s="10">
        <v>32133</v>
      </c>
      <c r="D55" s="10">
        <v>3859.5</v>
      </c>
      <c r="E55" s="10">
        <f t="shared" ref="E55:E71" si="15">D55/C55</f>
        <v>0.12011016711791617</v>
      </c>
      <c r="F55" s="10">
        <v>564.57000000000005</v>
      </c>
      <c r="G55" s="10">
        <v>922.68</v>
      </c>
      <c r="M55" s="42"/>
    </row>
    <row r="56" spans="1:21">
      <c r="B56" s="10">
        <v>2022</v>
      </c>
      <c r="C56" s="10">
        <v>40356</v>
      </c>
      <c r="D56" s="10">
        <v>4766.18</v>
      </c>
      <c r="E56" s="10">
        <f t="shared" si="15"/>
        <v>0.11810337991872337</v>
      </c>
      <c r="F56" s="10">
        <v>511.23</v>
      </c>
      <c r="G56" s="10">
        <v>881.71</v>
      </c>
      <c r="M56" s="42"/>
    </row>
    <row r="57" spans="1:21">
      <c r="B57" s="10">
        <v>2021</v>
      </c>
      <c r="C57" s="10">
        <v>31659</v>
      </c>
      <c r="D57" s="10">
        <v>3756.07</v>
      </c>
      <c r="E57" s="10">
        <f t="shared" si="15"/>
        <v>0.11864146056413659</v>
      </c>
      <c r="F57" s="13">
        <v>480.4</v>
      </c>
      <c r="G57" s="10">
        <v>519.69000000000005</v>
      </c>
      <c r="M57" s="42"/>
    </row>
    <row r="58" spans="1:21">
      <c r="B58" s="71">
        <v>2019</v>
      </c>
      <c r="C58" s="10">
        <v>26760</v>
      </c>
      <c r="D58" s="10">
        <v>3230</v>
      </c>
      <c r="E58" s="10">
        <f t="shared" si="15"/>
        <v>0.12070254110612855</v>
      </c>
      <c r="F58" s="87">
        <v>485.48</v>
      </c>
      <c r="G58" s="87">
        <v>728.74</v>
      </c>
      <c r="H58" s="46"/>
      <c r="M58" s="42"/>
    </row>
    <row r="59" spans="1:21">
      <c r="B59" s="71">
        <v>2018</v>
      </c>
      <c r="C59" s="10">
        <v>21033</v>
      </c>
      <c r="D59" s="10">
        <v>2506.85</v>
      </c>
      <c r="E59" s="10">
        <f t="shared" si="15"/>
        <v>0.11918651642656777</v>
      </c>
      <c r="F59" s="10">
        <v>456.31</v>
      </c>
      <c r="G59" s="10">
        <v>806.41</v>
      </c>
      <c r="M59" s="42"/>
    </row>
    <row r="60" spans="1:21">
      <c r="B60" s="71">
        <v>2017</v>
      </c>
      <c r="C60" s="10">
        <v>22821</v>
      </c>
      <c r="D60" s="10">
        <v>2673.61</v>
      </c>
      <c r="E60" s="10">
        <f t="shared" si="15"/>
        <v>0.11715568993470926</v>
      </c>
      <c r="F60" s="10">
        <v>419.77</v>
      </c>
      <c r="G60" s="10">
        <v>519.4</v>
      </c>
      <c r="H60" s="22"/>
      <c r="M60" s="42"/>
    </row>
    <row r="61" spans="1:21">
      <c r="B61" s="71">
        <v>2016</v>
      </c>
      <c r="C61" s="10">
        <v>19268</v>
      </c>
      <c r="D61" s="10">
        <v>2238.8200000000002</v>
      </c>
      <c r="E61" s="10">
        <f t="shared" si="15"/>
        <v>0.11619368901806104</v>
      </c>
      <c r="F61" s="13">
        <v>397.21</v>
      </c>
      <c r="G61" s="13">
        <v>536.38</v>
      </c>
      <c r="H61" s="22"/>
      <c r="M61" s="42"/>
    </row>
    <row r="62" spans="1:21">
      <c r="B62" s="71">
        <v>2015</v>
      </c>
      <c r="C62" s="10">
        <v>17956</v>
      </c>
      <c r="D62" s="10">
        <v>2043.94</v>
      </c>
      <c r="E62" s="10">
        <f t="shared" si="15"/>
        <v>0.11383047449320562</v>
      </c>
      <c r="F62" s="13">
        <v>382.46</v>
      </c>
      <c r="G62" s="13">
        <v>572.16</v>
      </c>
      <c r="M62" s="42"/>
    </row>
    <row r="63" spans="1:21">
      <c r="B63" s="71">
        <v>2014</v>
      </c>
      <c r="C63" s="10">
        <v>18245</v>
      </c>
      <c r="D63" s="10">
        <v>2058.9</v>
      </c>
      <c r="E63" s="10">
        <f t="shared" si="15"/>
        <v>0.11284735543984654</v>
      </c>
      <c r="F63" s="13">
        <f>81.96+86.65+89.02+92.8</f>
        <v>350.43</v>
      </c>
      <c r="G63" s="13">
        <f>159.28+116.17+145.19+132.63</f>
        <v>553.27</v>
      </c>
    </row>
    <row r="64" spans="1:21">
      <c r="B64" s="10">
        <v>2013</v>
      </c>
      <c r="C64" s="10">
        <v>16495</v>
      </c>
      <c r="D64" s="10">
        <v>1848.36</v>
      </c>
      <c r="E64" s="10">
        <f t="shared" si="15"/>
        <v>0.11205577447711428</v>
      </c>
      <c r="F64" s="13">
        <f>70.86+76.67+79.26+84.98</f>
        <v>311.77000000000004</v>
      </c>
      <c r="G64" s="13">
        <f>99.97+118.05+128.16+129.41</f>
        <v>475.58999999999992</v>
      </c>
    </row>
    <row r="65" spans="1:21">
      <c r="B65" s="10">
        <v>2012</v>
      </c>
      <c r="C65" s="10">
        <v>12742</v>
      </c>
      <c r="D65" s="10">
        <v>1426.19</v>
      </c>
      <c r="E65" s="10">
        <f t="shared" si="15"/>
        <v>0.11192826871762675</v>
      </c>
      <c r="F65" s="13">
        <f>64.07+67.31+69.48+79.83</f>
        <v>280.69</v>
      </c>
      <c r="G65" s="13">
        <f>84.29+111.75+103.72+99.15</f>
        <v>398.90999999999997</v>
      </c>
    </row>
    <row r="66" spans="1:21">
      <c r="B66" s="10">
        <v>2011</v>
      </c>
      <c r="C66" s="10">
        <v>11385</v>
      </c>
      <c r="D66" s="10">
        <v>1257.5999999999999</v>
      </c>
      <c r="E66" s="10">
        <f t="shared" si="15"/>
        <v>0.11046113306982872</v>
      </c>
      <c r="F66" s="13">
        <f>56.08+59.03+59.2+65.89</f>
        <v>240.2</v>
      </c>
      <c r="G66" s="13">
        <f>89.84+109.24+118.41+87.59</f>
        <v>405.08000000000004</v>
      </c>
    </row>
    <row r="67" spans="1:21">
      <c r="B67" s="10">
        <v>2010</v>
      </c>
      <c r="C67" s="10">
        <v>11430</v>
      </c>
      <c r="D67" s="13">
        <f>B39</f>
        <v>1257.6400000000001</v>
      </c>
      <c r="E67" s="10">
        <f t="shared" si="15"/>
        <v>0.11002974628171479</v>
      </c>
      <c r="F67" s="13">
        <v>205.83</v>
      </c>
      <c r="G67" s="13">
        <v>298.82</v>
      </c>
    </row>
    <row r="68" spans="1:21">
      <c r="B68" s="10">
        <v>2009</v>
      </c>
      <c r="C68" s="10">
        <v>9928</v>
      </c>
      <c r="D68" s="13">
        <f>B38</f>
        <v>1115</v>
      </c>
      <c r="E68" s="10">
        <f t="shared" si="15"/>
        <v>0.11230862207896858</v>
      </c>
      <c r="F68" s="10">
        <f>51.73+47.63+47.21+49.04</f>
        <v>195.60999999999999</v>
      </c>
      <c r="G68" s="10">
        <f>30.78+24.2+34.85+47.82</f>
        <v>137.65</v>
      </c>
      <c r="K68"/>
    </row>
    <row r="69" spans="1:21">
      <c r="B69" s="10">
        <v>2008</v>
      </c>
      <c r="C69" s="10">
        <v>7852</v>
      </c>
      <c r="D69" s="13">
        <f>B37</f>
        <v>903.25</v>
      </c>
      <c r="E69" s="10">
        <f t="shared" si="15"/>
        <v>0.11503438614365767</v>
      </c>
      <c r="F69" s="10">
        <f>62.19+61.44+61.94+61.72</f>
        <v>247.29</v>
      </c>
      <c r="G69" s="10">
        <f>48.12+89.71+87.91+113.9</f>
        <v>339.64</v>
      </c>
      <c r="K69"/>
    </row>
    <row r="70" spans="1:21">
      <c r="B70" s="10">
        <v>2007</v>
      </c>
      <c r="C70" s="10">
        <v>12868</v>
      </c>
      <c r="D70" s="13">
        <f>B36</f>
        <v>1468.36</v>
      </c>
      <c r="E70" s="10">
        <f t="shared" si="15"/>
        <v>0.11410941871308672</v>
      </c>
      <c r="F70" s="10">
        <f>58.53+59.76+61.21+67.09</f>
        <v>246.59</v>
      </c>
      <c r="G70" s="10">
        <f>117.7+157.76+171.95+141.71</f>
        <v>589.12</v>
      </c>
      <c r="K70"/>
    </row>
    <row r="71" spans="1:21">
      <c r="B71" s="19">
        <v>2006</v>
      </c>
      <c r="C71" s="19">
        <v>12729</v>
      </c>
      <c r="D71" s="21">
        <f>B35</f>
        <v>1418.3</v>
      </c>
      <c r="E71" s="10">
        <f t="shared" si="15"/>
        <v>0.11142273548589834</v>
      </c>
      <c r="F71" s="19"/>
      <c r="G71" s="19"/>
      <c r="K71"/>
    </row>
    <row r="72" spans="1:21" ht="15" thickBot="1">
      <c r="B72" s="19" t="s">
        <v>180</v>
      </c>
      <c r="C72" s="19"/>
      <c r="D72" s="19"/>
      <c r="E72" s="43"/>
      <c r="F72" s="103"/>
      <c r="G72" s="103"/>
      <c r="K72"/>
    </row>
    <row r="73" spans="1:21" ht="15" thickBot="1">
      <c r="A73" s="6" t="s">
        <v>17</v>
      </c>
      <c r="B73" s="20">
        <f>E55</f>
        <v>0.12011016711791617</v>
      </c>
      <c r="K73"/>
    </row>
    <row r="74" spans="1:21" customFormat="1">
      <c r="A74" s="6"/>
      <c r="B74" s="6"/>
      <c r="C74" s="6"/>
      <c r="D74" s="6"/>
      <c r="E74" s="6"/>
      <c r="F74" s="6"/>
      <c r="G74" s="6"/>
      <c r="H74" s="6"/>
      <c r="I74" s="6"/>
      <c r="J74" s="6"/>
      <c r="L74" s="6"/>
      <c r="M74" s="6"/>
      <c r="N74" s="6"/>
      <c r="O74" s="6"/>
      <c r="P74" s="6"/>
      <c r="Q74" s="6"/>
      <c r="R74" s="6"/>
      <c r="S74" s="6"/>
      <c r="T74" s="6"/>
      <c r="U74" s="6"/>
    </row>
    <row r="75" spans="1:21" customFormat="1">
      <c r="A75" s="46" t="s">
        <v>59</v>
      </c>
      <c r="B75" s="6"/>
      <c r="C75" s="6"/>
      <c r="D75" s="6"/>
      <c r="E75" s="6"/>
      <c r="F75" s="6"/>
      <c r="G75" s="6"/>
      <c r="H75" s="6"/>
      <c r="I75" s="6"/>
      <c r="J75" s="6"/>
      <c r="L75" s="6"/>
      <c r="M75" s="6"/>
      <c r="N75" s="6"/>
      <c r="O75" s="6"/>
      <c r="P75" s="6"/>
      <c r="Q75" s="6"/>
      <c r="R75" s="6"/>
      <c r="S75" s="6"/>
      <c r="T75" s="6"/>
      <c r="U75" s="6"/>
    </row>
    <row r="76" spans="1:21">
      <c r="A76" s="17" t="s">
        <v>8</v>
      </c>
      <c r="B76" s="15" t="s">
        <v>27</v>
      </c>
      <c r="C76" s="15" t="s">
        <v>6</v>
      </c>
      <c r="D76" s="15" t="s">
        <v>7</v>
      </c>
      <c r="E76" s="10" t="s">
        <v>55</v>
      </c>
      <c r="K76"/>
    </row>
    <row r="77" spans="1:21">
      <c r="A77" s="17" t="s">
        <v>12</v>
      </c>
      <c r="B77" s="133">
        <v>457.43</v>
      </c>
      <c r="C77" s="134">
        <v>143.19999999999999</v>
      </c>
      <c r="D77" s="133">
        <v>174.92</v>
      </c>
      <c r="E77" s="117"/>
      <c r="F77" s="22" t="s">
        <v>181</v>
      </c>
      <c r="L77"/>
    </row>
    <row r="78" spans="1:21">
      <c r="A78" s="17" t="s">
        <v>11</v>
      </c>
      <c r="B78" s="133">
        <v>439.08</v>
      </c>
      <c r="C78" s="134">
        <v>146.76</v>
      </c>
      <c r="D78" s="133">
        <v>215.53</v>
      </c>
      <c r="K78"/>
    </row>
    <row r="79" spans="1:21">
      <c r="A79" s="17" t="s">
        <v>10</v>
      </c>
      <c r="B79" s="133">
        <v>421.55</v>
      </c>
      <c r="C79" s="134">
        <v>146.07</v>
      </c>
      <c r="D79" s="133">
        <v>211.19</v>
      </c>
      <c r="K79"/>
    </row>
    <row r="80" spans="1:21">
      <c r="A80" s="17" t="s">
        <v>9</v>
      </c>
      <c r="B80" s="133">
        <v>422.94</v>
      </c>
      <c r="C80" s="134">
        <v>140.34</v>
      </c>
      <c r="D80" s="133">
        <v>210.84</v>
      </c>
      <c r="K80"/>
      <c r="T80"/>
      <c r="U80"/>
    </row>
    <row r="81" spans="1:21">
      <c r="A81" s="17" t="s">
        <v>13</v>
      </c>
      <c r="B81" s="16">
        <f>SUM(B77:B80)</f>
        <v>1741</v>
      </c>
      <c r="C81" s="16">
        <f>SUM(C77:C80)</f>
        <v>576.37</v>
      </c>
      <c r="D81" s="16">
        <f>SUM(D77:D80)</f>
        <v>812.48</v>
      </c>
      <c r="E81" s="10">
        <f>E85</f>
        <v>71.175899999999999</v>
      </c>
      <c r="T81"/>
      <c r="U81"/>
    </row>
    <row r="83" spans="1:21">
      <c r="A83" s="118" t="s">
        <v>64</v>
      </c>
      <c r="B83"/>
      <c r="C83"/>
      <c r="D83"/>
      <c r="E83"/>
      <c r="F83"/>
      <c r="G83"/>
      <c r="H83"/>
      <c r="I83"/>
      <c r="J83"/>
      <c r="K83"/>
      <c r="L83"/>
      <c r="M83"/>
      <c r="N83"/>
      <c r="O83"/>
      <c r="P83"/>
      <c r="Q83"/>
      <c r="R83"/>
      <c r="S83"/>
    </row>
    <row r="84" spans="1:21">
      <c r="A84" s="45" t="s">
        <v>60</v>
      </c>
      <c r="B84" t="s">
        <v>27</v>
      </c>
      <c r="C84" t="s">
        <v>6</v>
      </c>
      <c r="D84" t="s">
        <v>7</v>
      </c>
      <c r="E84" t="s">
        <v>55</v>
      </c>
      <c r="F84" t="s">
        <v>65</v>
      </c>
      <c r="G84"/>
      <c r="H84"/>
      <c r="I84"/>
      <c r="J84"/>
      <c r="K84"/>
      <c r="L84"/>
      <c r="M84"/>
      <c r="N84"/>
      <c r="O84"/>
      <c r="P84"/>
      <c r="Q84"/>
      <c r="R84"/>
      <c r="S84"/>
    </row>
    <row r="85" spans="1:21">
      <c r="A85" s="57">
        <v>43738</v>
      </c>
      <c r="B85" s="48">
        <v>1657.7023999999999</v>
      </c>
      <c r="C85" s="48">
        <v>548.63679999999988</v>
      </c>
      <c r="D85" s="47">
        <v>804.64890000000003</v>
      </c>
      <c r="E85" s="48">
        <v>71.175899999999999</v>
      </c>
      <c r="F85" s="49">
        <v>0.11222785540047046</v>
      </c>
      <c r="H85" s="6" t="s">
        <v>182</v>
      </c>
    </row>
  </sheetData>
  <mergeCells count="1">
    <mergeCell ref="J10:L12"/>
  </mergeCells>
  <phoneticPr fontId="11" type="noConversion"/>
  <dataValidations count="1">
    <dataValidation allowBlank="1" showInputMessage="1" showErrorMessage="1" sqref="C2:C15 C24:C28" xr:uid="{11DC2FE4-97DE-9A44-835E-9299CE3B4316}"/>
  </dataValidations>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6"/>
  <sheetViews>
    <sheetView topLeftCell="A23" workbookViewId="0">
      <selection activeCell="B67" sqref="B67"/>
    </sheetView>
  </sheetViews>
  <sheetFormatPr baseColWidth="10" defaultRowHeight="14"/>
  <cols>
    <col min="2" max="3" width="11.5703125" customWidth="1"/>
  </cols>
  <sheetData>
    <row r="1" spans="1:5" s="39" customFormat="1">
      <c r="A1" s="79" t="s">
        <v>5</v>
      </c>
      <c r="B1" s="80" t="s">
        <v>38</v>
      </c>
      <c r="C1" s="80" t="s">
        <v>3</v>
      </c>
      <c r="D1" s="80" t="s">
        <v>39</v>
      </c>
      <c r="E1" s="81" t="s">
        <v>40</v>
      </c>
    </row>
    <row r="2" spans="1:5" s="40" customFormat="1">
      <c r="A2" s="73">
        <v>1960</v>
      </c>
      <c r="B2" s="51">
        <v>5.3400000000000003E-2</v>
      </c>
      <c r="C2" s="51">
        <v>3.4099999999999998E-2</v>
      </c>
      <c r="D2" s="52">
        <v>2.76E-2</v>
      </c>
      <c r="E2" s="77"/>
    </row>
    <row r="3" spans="1:5" s="40" customFormat="1">
      <c r="A3" s="73">
        <v>1961</v>
      </c>
      <c r="B3" s="51">
        <v>4.7100000000000003E-2</v>
      </c>
      <c r="C3" s="51">
        <v>2.8500000000000001E-2</v>
      </c>
      <c r="D3" s="52">
        <v>2.35E-2</v>
      </c>
      <c r="E3" s="77">
        <v>2.92E-2</v>
      </c>
    </row>
    <row r="4" spans="1:5" s="40" customFormat="1">
      <c r="A4" s="73">
        <v>1962</v>
      </c>
      <c r="B4" s="51">
        <v>5.8099999999999999E-2</v>
      </c>
      <c r="C4" s="51">
        <v>3.4000000000000002E-2</v>
      </c>
      <c r="D4" s="51">
        <v>3.85E-2</v>
      </c>
      <c r="E4" s="77">
        <v>3.56E-2</v>
      </c>
    </row>
    <row r="5" spans="1:5" s="40" customFormat="1">
      <c r="A5" s="73">
        <v>1963</v>
      </c>
      <c r="B5" s="51">
        <v>5.5100000000000003E-2</v>
      </c>
      <c r="C5" s="51">
        <v>3.1300000000000001E-2</v>
      </c>
      <c r="D5" s="51">
        <v>4.1399999999999999E-2</v>
      </c>
      <c r="E5" s="77">
        <v>3.3799999999999997E-2</v>
      </c>
    </row>
    <row r="6" spans="1:5" s="40" customFormat="1">
      <c r="A6" s="73">
        <v>1964</v>
      </c>
      <c r="B6" s="51">
        <v>5.62E-2</v>
      </c>
      <c r="C6" s="51">
        <v>3.0499999999999999E-2</v>
      </c>
      <c r="D6" s="51">
        <v>4.2099999999999999E-2</v>
      </c>
      <c r="E6" s="77">
        <v>3.3099999999999997E-2</v>
      </c>
    </row>
    <row r="7" spans="1:5" s="40" customFormat="1">
      <c r="A7" s="73">
        <v>1965</v>
      </c>
      <c r="B7" s="51">
        <v>5.7299999999999997E-2</v>
      </c>
      <c r="C7" s="51">
        <v>3.0599999999999999E-2</v>
      </c>
      <c r="D7" s="51">
        <v>4.65E-2</v>
      </c>
      <c r="E7" s="77">
        <v>3.32E-2</v>
      </c>
    </row>
    <row r="8" spans="1:5" s="40" customFormat="1">
      <c r="A8" s="73">
        <v>1966</v>
      </c>
      <c r="B8" s="51">
        <v>6.7400000000000002E-2</v>
      </c>
      <c r="C8" s="51">
        <v>3.5900000000000001E-2</v>
      </c>
      <c r="D8" s="51">
        <v>4.6399999999999997E-2</v>
      </c>
      <c r="E8" s="77">
        <v>3.6799999999999999E-2</v>
      </c>
    </row>
    <row r="9" spans="1:5" s="40" customFormat="1">
      <c r="A9" s="73">
        <v>1967</v>
      </c>
      <c r="B9" s="51">
        <v>5.6599999999999998E-2</v>
      </c>
      <c r="C9" s="51">
        <v>3.09E-2</v>
      </c>
      <c r="D9" s="51">
        <v>5.7000000000000002E-2</v>
      </c>
      <c r="E9" s="77">
        <v>3.2000000000000001E-2</v>
      </c>
    </row>
    <row r="10" spans="1:5" s="40" customFormat="1">
      <c r="A10" s="73">
        <v>1968</v>
      </c>
      <c r="B10" s="51">
        <v>5.5100000000000003E-2</v>
      </c>
      <c r="C10" s="51">
        <v>2.93E-2</v>
      </c>
      <c r="D10" s="51">
        <v>6.1600000000000002E-2</v>
      </c>
      <c r="E10" s="77">
        <v>0.03</v>
      </c>
    </row>
    <row r="11" spans="1:5" s="40" customFormat="1">
      <c r="A11" s="73">
        <v>1969</v>
      </c>
      <c r="B11" s="51">
        <v>6.6299999999999998E-2</v>
      </c>
      <c r="C11" s="51">
        <v>3.5200000000000002E-2</v>
      </c>
      <c r="D11" s="51">
        <v>7.8799999999999995E-2</v>
      </c>
      <c r="E11" s="77">
        <v>3.7400000000000003E-2</v>
      </c>
    </row>
    <row r="12" spans="1:5" s="40" customFormat="1">
      <c r="A12" s="73">
        <v>1970</v>
      </c>
      <c r="B12" s="51">
        <v>5.9799999999999999E-2</v>
      </c>
      <c r="C12" s="51">
        <v>3.4599999999999999E-2</v>
      </c>
      <c r="D12" s="51">
        <v>6.5000000000000002E-2</v>
      </c>
      <c r="E12" s="77">
        <v>3.4099999999999998E-2</v>
      </c>
    </row>
    <row r="13" spans="1:5" s="40" customFormat="1">
      <c r="A13" s="73">
        <v>1971</v>
      </c>
      <c r="B13" s="51">
        <v>5.4600000000000003E-2</v>
      </c>
      <c r="C13" s="51">
        <v>3.1E-2</v>
      </c>
      <c r="D13" s="51">
        <v>5.8900000000000001E-2</v>
      </c>
      <c r="E13" s="77">
        <v>3.09E-2</v>
      </c>
    </row>
    <row r="14" spans="1:5" s="40" customFormat="1">
      <c r="A14" s="73">
        <v>1972</v>
      </c>
      <c r="B14" s="51">
        <v>5.2299999999999999E-2</v>
      </c>
      <c r="C14" s="51">
        <v>2.7E-2</v>
      </c>
      <c r="D14" s="51">
        <v>6.4100000000000004E-2</v>
      </c>
      <c r="E14" s="77">
        <v>2.7199999999999998E-2</v>
      </c>
    </row>
    <row r="15" spans="1:5" s="40" customFormat="1">
      <c r="A15" s="73">
        <v>1973</v>
      </c>
      <c r="B15" s="51">
        <v>8.1600000000000006E-2</v>
      </c>
      <c r="C15" s="51">
        <v>3.6999999999999998E-2</v>
      </c>
      <c r="D15" s="51">
        <v>6.9000000000000006E-2</v>
      </c>
      <c r="E15" s="77">
        <v>4.2999999999999997E-2</v>
      </c>
    </row>
    <row r="16" spans="1:5" s="40" customFormat="1">
      <c r="A16" s="73">
        <v>1974</v>
      </c>
      <c r="B16" s="51">
        <v>0.13639999999999999</v>
      </c>
      <c r="C16" s="51">
        <v>5.4300000000000001E-2</v>
      </c>
      <c r="D16" s="51">
        <v>7.3999999999999996E-2</v>
      </c>
      <c r="E16" s="77">
        <v>5.5899999999999998E-2</v>
      </c>
    </row>
    <row r="17" spans="1:5" s="40" customFormat="1">
      <c r="A17" s="73">
        <v>1975</v>
      </c>
      <c r="B17" s="51">
        <v>8.5500000000000007E-2</v>
      </c>
      <c r="C17" s="51">
        <v>4.1399999999999999E-2</v>
      </c>
      <c r="D17" s="51">
        <v>7.7600000000000002E-2</v>
      </c>
      <c r="E17" s="77">
        <v>4.1300000000000003E-2</v>
      </c>
    </row>
    <row r="18" spans="1:5" s="40" customFormat="1">
      <c r="A18" s="73">
        <v>1976</v>
      </c>
      <c r="B18" s="51">
        <v>9.0700000000000003E-2</v>
      </c>
      <c r="C18" s="51">
        <v>3.9300000000000002E-2</v>
      </c>
      <c r="D18" s="51">
        <v>6.8099999999999994E-2</v>
      </c>
      <c r="E18" s="77">
        <v>4.5499999999999999E-2</v>
      </c>
    </row>
    <row r="19" spans="1:5" s="40" customFormat="1">
      <c r="A19" s="73">
        <v>1977</v>
      </c>
      <c r="B19" s="51">
        <v>0.1143</v>
      </c>
      <c r="C19" s="51">
        <v>5.11E-2</v>
      </c>
      <c r="D19" s="51">
        <v>7.7799999999999994E-2</v>
      </c>
      <c r="E19" s="77">
        <v>5.9200000000000003E-2</v>
      </c>
    </row>
    <row r="20" spans="1:5" s="40" customFormat="1">
      <c r="A20" s="73">
        <v>1978</v>
      </c>
      <c r="B20" s="51">
        <v>0.1211</v>
      </c>
      <c r="C20" s="51">
        <v>5.3900000000000003E-2</v>
      </c>
      <c r="D20" s="51">
        <v>9.1499999999999998E-2</v>
      </c>
      <c r="E20" s="77">
        <v>5.7200000000000001E-2</v>
      </c>
    </row>
    <row r="21" spans="1:5" s="40" customFormat="1">
      <c r="A21" s="73">
        <v>1979</v>
      </c>
      <c r="B21" s="51">
        <v>0.1348</v>
      </c>
      <c r="C21" s="51">
        <v>5.5300000000000002E-2</v>
      </c>
      <c r="D21" s="51">
        <v>0.1033</v>
      </c>
      <c r="E21" s="77">
        <v>6.4500000000000002E-2</v>
      </c>
    </row>
    <row r="22" spans="1:5" s="40" customFormat="1">
      <c r="A22" s="73">
        <v>1980</v>
      </c>
      <c r="B22" s="51">
        <v>0.1104</v>
      </c>
      <c r="C22" s="51">
        <v>4.7399999999999998E-2</v>
      </c>
      <c r="D22" s="51">
        <v>0.12429999999999999</v>
      </c>
      <c r="E22" s="77">
        <v>5.0299999999999997E-2</v>
      </c>
    </row>
    <row r="23" spans="1:5" s="40" customFormat="1">
      <c r="A23" s="73">
        <v>1981</v>
      </c>
      <c r="B23" s="51">
        <v>0.1239</v>
      </c>
      <c r="C23" s="51">
        <v>5.57E-2</v>
      </c>
      <c r="D23" s="51">
        <v>0.13980000000000001</v>
      </c>
      <c r="E23" s="77">
        <v>5.7299999999999997E-2</v>
      </c>
    </row>
    <row r="24" spans="1:5" s="40" customFormat="1">
      <c r="A24" s="73">
        <v>1982</v>
      </c>
      <c r="B24" s="51">
        <v>9.8299999999999998E-2</v>
      </c>
      <c r="C24" s="51">
        <v>4.9299999999999997E-2</v>
      </c>
      <c r="D24" s="51">
        <v>0.1047</v>
      </c>
      <c r="E24" s="77">
        <v>4.9000000000000002E-2</v>
      </c>
    </row>
    <row r="25" spans="1:5" s="40" customFormat="1">
      <c r="A25" s="73">
        <v>1983</v>
      </c>
      <c r="B25" s="51">
        <v>8.0600000000000005E-2</v>
      </c>
      <c r="C25" s="51">
        <v>4.3200000000000002E-2</v>
      </c>
      <c r="D25" s="51">
        <v>0.11799999999999999</v>
      </c>
      <c r="E25" s="77">
        <v>4.3099999999999999E-2</v>
      </c>
    </row>
    <row r="26" spans="1:5" s="40" customFormat="1">
      <c r="A26" s="73">
        <v>1984</v>
      </c>
      <c r="B26" s="51">
        <v>0.1007</v>
      </c>
      <c r="C26" s="51">
        <v>4.6800000000000001E-2</v>
      </c>
      <c r="D26" s="51">
        <v>0.11509999999999999</v>
      </c>
      <c r="E26" s="77">
        <v>5.11E-2</v>
      </c>
    </row>
    <row r="27" spans="1:5" s="40" customFormat="1">
      <c r="A27" s="73">
        <v>1985</v>
      </c>
      <c r="B27" s="51">
        <v>7.4200000000000002E-2</v>
      </c>
      <c r="C27" s="51">
        <v>3.8800000000000001E-2</v>
      </c>
      <c r="D27" s="51">
        <v>8.9899999999999994E-2</v>
      </c>
      <c r="E27" s="77">
        <v>3.8399999999999997E-2</v>
      </c>
    </row>
    <row r="28" spans="1:5" s="40" customFormat="1">
      <c r="A28" s="73">
        <v>1986</v>
      </c>
      <c r="B28" s="51">
        <v>5.96E-2</v>
      </c>
      <c r="C28" s="51">
        <v>3.3799999999999997E-2</v>
      </c>
      <c r="D28" s="51">
        <v>7.22E-2</v>
      </c>
      <c r="E28" s="77">
        <v>3.5799999999999998E-2</v>
      </c>
    </row>
    <row r="29" spans="1:5" s="40" customFormat="1">
      <c r="A29" s="73">
        <v>1987</v>
      </c>
      <c r="B29" s="51">
        <v>6.4899999999999999E-2</v>
      </c>
      <c r="C29" s="51">
        <v>3.7100000000000001E-2</v>
      </c>
      <c r="D29" s="51">
        <v>8.8599999999999998E-2</v>
      </c>
      <c r="E29" s="77">
        <v>3.9899999999999998E-2</v>
      </c>
    </row>
    <row r="30" spans="1:5" s="40" customFormat="1">
      <c r="A30" s="73">
        <v>1988</v>
      </c>
      <c r="B30" s="51">
        <v>8.2000000000000003E-2</v>
      </c>
      <c r="C30" s="51">
        <v>3.6799999999999999E-2</v>
      </c>
      <c r="D30" s="51">
        <v>9.1399999999999995E-2</v>
      </c>
      <c r="E30" s="77">
        <v>3.7699999999999997E-2</v>
      </c>
    </row>
    <row r="31" spans="1:5" s="40" customFormat="1">
      <c r="A31" s="73">
        <v>1989</v>
      </c>
      <c r="B31" s="51">
        <v>6.8000000000000005E-2</v>
      </c>
      <c r="C31" s="51">
        <v>3.32E-2</v>
      </c>
      <c r="D31" s="51">
        <v>7.9299999999999995E-2</v>
      </c>
      <c r="E31" s="77">
        <v>3.5099999999999999E-2</v>
      </c>
    </row>
    <row r="32" spans="1:5" s="40" customFormat="1">
      <c r="A32" s="73">
        <v>1990</v>
      </c>
      <c r="B32" s="51">
        <v>6.5799999999999997E-2</v>
      </c>
      <c r="C32" s="51">
        <v>3.7400000000000003E-2</v>
      </c>
      <c r="D32" s="51">
        <v>8.0699999999999994E-2</v>
      </c>
      <c r="E32" s="77">
        <v>3.8899999999999997E-2</v>
      </c>
    </row>
    <row r="33" spans="1:5" s="40" customFormat="1">
      <c r="A33" s="73">
        <v>1991</v>
      </c>
      <c r="B33" s="51">
        <v>4.58E-2</v>
      </c>
      <c r="C33" s="51">
        <v>3.1099999999999999E-2</v>
      </c>
      <c r="D33" s="51">
        <v>6.7000000000000004E-2</v>
      </c>
      <c r="E33" s="77">
        <v>3.4799999999999998E-2</v>
      </c>
    </row>
    <row r="34" spans="1:5" s="40" customFormat="1">
      <c r="A34" s="73">
        <v>1992</v>
      </c>
      <c r="B34" s="51">
        <v>4.1599999999999998E-2</v>
      </c>
      <c r="C34" s="51">
        <v>2.9000000000000001E-2</v>
      </c>
      <c r="D34" s="51">
        <v>6.6799999999999998E-2</v>
      </c>
      <c r="E34" s="77">
        <v>3.5499999999999997E-2</v>
      </c>
    </row>
    <row r="35" spans="1:5" s="40" customFormat="1">
      <c r="A35" s="73">
        <v>1993</v>
      </c>
      <c r="B35" s="51">
        <v>4.2500000000000003E-2</v>
      </c>
      <c r="C35" s="51">
        <v>2.7199999999999998E-2</v>
      </c>
      <c r="D35" s="51">
        <v>5.79E-2</v>
      </c>
      <c r="E35" s="77">
        <v>3.1699999999999999E-2</v>
      </c>
    </row>
    <row r="36" spans="1:5" s="40" customFormat="1">
      <c r="A36" s="73">
        <v>1994</v>
      </c>
      <c r="B36" s="51">
        <v>5.8900000000000001E-2</v>
      </c>
      <c r="C36" s="51">
        <v>2.9100000000000001E-2</v>
      </c>
      <c r="D36" s="51">
        <v>7.8200000000000006E-2</v>
      </c>
      <c r="E36" s="77">
        <v>3.5499999999999997E-2</v>
      </c>
    </row>
    <row r="37" spans="1:5" s="40" customFormat="1">
      <c r="A37" s="73">
        <v>1995</v>
      </c>
      <c r="B37" s="51">
        <v>5.74E-2</v>
      </c>
      <c r="C37" s="51">
        <v>2.3E-2</v>
      </c>
      <c r="D37" s="51">
        <v>5.57E-2</v>
      </c>
      <c r="E37" s="77">
        <v>3.2899999999999999E-2</v>
      </c>
    </row>
    <row r="38" spans="1:5" s="40" customFormat="1">
      <c r="A38" s="73">
        <v>1996</v>
      </c>
      <c r="B38" s="51">
        <v>4.8300000000000003E-2</v>
      </c>
      <c r="C38" s="51">
        <v>2.01E-2</v>
      </c>
      <c r="D38" s="51">
        <v>6.4100000000000004E-2</v>
      </c>
      <c r="E38" s="77">
        <v>3.2000000000000001E-2</v>
      </c>
    </row>
    <row r="39" spans="1:5" s="37" customFormat="1">
      <c r="A39" s="73">
        <v>1997</v>
      </c>
      <c r="B39" s="52">
        <v>4.0766408479412965E-2</v>
      </c>
      <c r="C39" s="51">
        <v>1.5994971301381864E-2</v>
      </c>
      <c r="D39" s="51">
        <v>5.74E-2</v>
      </c>
      <c r="E39" s="77">
        <v>2.7300000000000001E-2</v>
      </c>
    </row>
    <row r="40" spans="1:5" s="37" customFormat="1">
      <c r="A40" s="73">
        <v>1998</v>
      </c>
      <c r="B40" s="52">
        <v>3.110419906687403E-2</v>
      </c>
      <c r="C40" s="52">
        <v>1.3178981964319126E-2</v>
      </c>
      <c r="D40" s="51">
        <v>4.65E-2</v>
      </c>
      <c r="E40" s="77">
        <v>2.2599999999999999E-2</v>
      </c>
    </row>
    <row r="41" spans="1:5" s="37" customFormat="1">
      <c r="A41" s="73">
        <v>1999</v>
      </c>
      <c r="B41" s="51">
        <v>3.0740854595757761E-2</v>
      </c>
      <c r="C41" s="51">
        <v>1.1374404356705241E-2</v>
      </c>
      <c r="D41" s="51">
        <v>6.4399999999999999E-2</v>
      </c>
      <c r="E41" s="77">
        <v>2.0500000000000001E-2</v>
      </c>
    </row>
    <row r="42" spans="1:5" s="37" customFormat="1">
      <c r="A42" s="73">
        <v>2000</v>
      </c>
      <c r="B42" s="51">
        <v>3.9385584875935409E-2</v>
      </c>
      <c r="C42" s="51">
        <v>1.2321969696969698E-2</v>
      </c>
      <c r="D42" s="51">
        <v>5.11E-2</v>
      </c>
      <c r="E42" s="77">
        <v>2.87E-2</v>
      </c>
    </row>
    <row r="43" spans="1:5" s="37" customFormat="1">
      <c r="A43" s="73">
        <v>2001</v>
      </c>
      <c r="B43" s="51">
        <v>3.8524854323267341E-2</v>
      </c>
      <c r="C43" s="51">
        <v>1.3710597601233353E-2</v>
      </c>
      <c r="D43" s="51">
        <v>5.0500000000000003E-2</v>
      </c>
      <c r="E43" s="77">
        <v>3.6200000000000003E-2</v>
      </c>
    </row>
    <row r="44" spans="1:5" s="37" customFormat="1">
      <c r="A44" s="73">
        <v>2002</v>
      </c>
      <c r="B44" s="51">
        <v>5.232888545384283E-2</v>
      </c>
      <c r="C44" s="51">
        <v>1.8276465640699232E-2</v>
      </c>
      <c r="D44" s="51">
        <v>3.8100000000000002E-2</v>
      </c>
      <c r="E44" s="77">
        <v>4.1000000000000002E-2</v>
      </c>
    </row>
    <row r="45" spans="1:5" s="37" customFormat="1">
      <c r="A45" s="73">
        <v>2003</v>
      </c>
      <c r="B45" s="51">
        <v>4.87E-2</v>
      </c>
      <c r="C45" s="51">
        <v>1.61E-2</v>
      </c>
      <c r="D45" s="51">
        <v>4.2500000000000003E-2</v>
      </c>
      <c r="E45" s="77">
        <v>3.6900000000000002E-2</v>
      </c>
    </row>
    <row r="46" spans="1:5" s="2" customFormat="1">
      <c r="A46" s="73">
        <v>2004</v>
      </c>
      <c r="B46" s="51">
        <v>5.584527031487227E-2</v>
      </c>
      <c r="C46" s="51">
        <v>1.6013433229916166E-2</v>
      </c>
      <c r="D46" s="51">
        <v>4.2200000000000001E-2</v>
      </c>
      <c r="E46" s="77">
        <v>3.6499999999999998E-2</v>
      </c>
    </row>
    <row r="47" spans="1:5" s="40" customFormat="1">
      <c r="A47" s="73">
        <v>2005</v>
      </c>
      <c r="B47" s="51">
        <v>5.4699999999999999E-2</v>
      </c>
      <c r="C47" s="51">
        <v>1.792852622387426E-2</v>
      </c>
      <c r="D47" s="51">
        <v>4.3900000000000002E-2</v>
      </c>
      <c r="E47" s="77">
        <v>4.0800000000000003E-2</v>
      </c>
    </row>
    <row r="48" spans="1:5" s="40" customFormat="1">
      <c r="A48" s="73">
        <v>2006</v>
      </c>
      <c r="B48" s="51">
        <v>6.1848692096171477E-2</v>
      </c>
      <c r="C48" s="51">
        <v>1.766198970598604E-2</v>
      </c>
      <c r="D48" s="51">
        <v>4.7E-2</v>
      </c>
      <c r="E48" s="77">
        <v>4.1599999999999998E-2</v>
      </c>
    </row>
    <row r="49" spans="1:5" s="40" customFormat="1">
      <c r="A49" s="73">
        <v>2007</v>
      </c>
      <c r="B49" s="51">
        <v>5.6212372987550746E-2</v>
      </c>
      <c r="C49" s="51">
        <v>1.8885014574082652E-2</v>
      </c>
      <c r="D49" s="51">
        <v>4.02E-2</v>
      </c>
      <c r="E49" s="77">
        <v>4.3700000000000003E-2</v>
      </c>
    </row>
    <row r="50" spans="1:5" s="40" customFormat="1">
      <c r="A50" s="73">
        <v>2008</v>
      </c>
      <c r="B50" s="51">
        <v>7.2394132300027683E-2</v>
      </c>
      <c r="C50" s="51">
        <v>3.1054525325214504E-2</v>
      </c>
      <c r="D50" s="51">
        <v>2.2100000000000002E-2</v>
      </c>
      <c r="E50" s="77">
        <v>6.4299999999999996E-2</v>
      </c>
    </row>
    <row r="51" spans="1:5" s="40" customFormat="1">
      <c r="A51" s="74">
        <v>2009</v>
      </c>
      <c r="B51" s="51">
        <v>5.3492960272621293E-2</v>
      </c>
      <c r="C51" s="51">
        <v>2.000717424446238E-2</v>
      </c>
      <c r="D51" s="51">
        <v>3.8399999999999997E-2</v>
      </c>
      <c r="E51" s="77">
        <v>4.36E-2</v>
      </c>
    </row>
    <row r="52" spans="1:5" s="40" customFormat="1">
      <c r="A52" s="74">
        <v>2010</v>
      </c>
      <c r="B52" s="51">
        <v>6.6521421074393294E-2</v>
      </c>
      <c r="C52" s="51">
        <v>1.8383639197226551E-2</v>
      </c>
      <c r="D52" s="51">
        <v>3.2899999999999999E-2</v>
      </c>
      <c r="E52" s="77">
        <v>5.1999999999999998E-2</v>
      </c>
    </row>
    <row r="53" spans="1:5" s="40" customFormat="1">
      <c r="A53" s="75">
        <v>2011</v>
      </c>
      <c r="B53" s="51">
        <v>7.7170801526717556E-2</v>
      </c>
      <c r="C53" s="51">
        <v>2.069020356234097E-2</v>
      </c>
      <c r="D53" s="53">
        <v>1.8800000000000001E-2</v>
      </c>
      <c r="E53" s="78">
        <v>6.0100000000000001E-2</v>
      </c>
    </row>
    <row r="54" spans="1:5" s="40" customFormat="1">
      <c r="A54" s="75">
        <v>2012</v>
      </c>
      <c r="B54" s="53">
        <v>7.1848771902761899E-2</v>
      </c>
      <c r="C54" s="53">
        <v>2.134357974743898E-2</v>
      </c>
      <c r="D54" s="53">
        <v>1.7600000000000001E-2</v>
      </c>
      <c r="E54" s="78">
        <v>5.7799999999999997E-2</v>
      </c>
    </row>
    <row r="55" spans="1:5" s="2" customFormat="1">
      <c r="A55" s="76">
        <v>2013</v>
      </c>
      <c r="B55" s="54">
        <v>5.813261485857734E-2</v>
      </c>
      <c r="C55" s="54">
        <v>1.9599999999999999E-2</v>
      </c>
      <c r="D55" s="51">
        <v>3.04E-2</v>
      </c>
      <c r="E55" s="77">
        <v>4.9599999999999998E-2</v>
      </c>
    </row>
    <row r="56" spans="1:5">
      <c r="A56" s="76">
        <v>2014</v>
      </c>
      <c r="B56" s="53">
        <v>5.4888532711642138E-2</v>
      </c>
      <c r="C56" s="51">
        <v>1.9155859925202776E-2</v>
      </c>
      <c r="D56" s="51">
        <v>2.1700000000000001E-2</v>
      </c>
      <c r="E56" s="77">
        <v>5.7799999999999997E-2</v>
      </c>
    </row>
    <row r="57" spans="1:5" s="63" customFormat="1">
      <c r="A57" s="82">
        <v>2015</v>
      </c>
      <c r="B57" s="83">
        <v>5.2017182500464783E-2</v>
      </c>
      <c r="C57" s="83">
        <v>2.1116079728367758E-2</v>
      </c>
      <c r="D57" s="83">
        <v>2.2700000000000001E-2</v>
      </c>
      <c r="E57" s="84">
        <v>6.1199999999999997E-2</v>
      </c>
    </row>
    <row r="58" spans="1:5">
      <c r="A58" s="82">
        <v>2016</v>
      </c>
      <c r="B58" s="83">
        <v>4.8599999999999997E-2</v>
      </c>
      <c r="C58" s="85">
        <v>2.01E-2</v>
      </c>
      <c r="D58" s="83">
        <v>2.4500000000000001E-2</v>
      </c>
      <c r="E58" s="84">
        <v>5.6899999999999999E-2</v>
      </c>
    </row>
    <row r="59" spans="1:5">
      <c r="A59" s="82">
        <v>2017</v>
      </c>
      <c r="B59" s="83">
        <v>4.4200000000000003E-2</v>
      </c>
      <c r="C59" s="85">
        <v>1.7999999999999999E-2</v>
      </c>
      <c r="D59" s="83">
        <v>2.41E-2</v>
      </c>
      <c r="E59" s="84">
        <v>5.0799999999999998E-2</v>
      </c>
    </row>
    <row r="60" spans="1:5">
      <c r="A60" s="82">
        <v>2018</v>
      </c>
      <c r="B60" s="83">
        <v>5.9200000000000003E-2</v>
      </c>
      <c r="C60" s="85">
        <v>2.0799999999999999E-2</v>
      </c>
      <c r="D60" s="83">
        <v>2.6800000000000001E-2</v>
      </c>
      <c r="E60" s="84">
        <v>5.96E-2</v>
      </c>
    </row>
    <row r="61" spans="1:5">
      <c r="A61" s="82">
        <v>2019</v>
      </c>
      <c r="B61" s="83">
        <v>5.0251022972780564E-2</v>
      </c>
      <c r="C61" s="85">
        <v>1.8199939333535552E-2</v>
      </c>
      <c r="D61" s="83">
        <v>1.9199999999999998E-2</v>
      </c>
      <c r="E61" s="84">
        <v>5.1999999999999998E-2</v>
      </c>
    </row>
    <row r="62" spans="1:5">
      <c r="A62" s="82">
        <v>2020</v>
      </c>
      <c r="B62" s="83">
        <v>3.6799999999999999E-2</v>
      </c>
      <c r="C62" s="85">
        <v>1.5100000000000001E-2</v>
      </c>
      <c r="D62" s="83">
        <v>9.2999999999999992E-3</v>
      </c>
      <c r="E62" s="84">
        <v>4.7199999999999999E-2</v>
      </c>
    </row>
    <row r="63" spans="1:5">
      <c r="A63" s="82">
        <v>2021</v>
      </c>
      <c r="B63" s="83">
        <v>4.3299999999999998E-2</v>
      </c>
      <c r="C63" s="85">
        <v>1.24E-2</v>
      </c>
      <c r="D63" s="83">
        <v>1.5100000000000001E-2</v>
      </c>
      <c r="E63" s="84">
        <v>4.24E-2</v>
      </c>
    </row>
    <row r="64" spans="1:5">
      <c r="A64" s="82">
        <v>2022</v>
      </c>
      <c r="B64" s="83">
        <v>5.7166297695012372E-2</v>
      </c>
      <c r="C64" s="51">
        <v>1.7799192603203545E-2</v>
      </c>
      <c r="D64" s="83">
        <v>3.8800000000000001E-2</v>
      </c>
      <c r="E64" s="84">
        <v>5.9400000000000001E-2</v>
      </c>
    </row>
    <row r="65" spans="1:5">
      <c r="A65" s="82">
        <v>2023</v>
      </c>
      <c r="B65" s="83">
        <v>4.6100000000000002E-2</v>
      </c>
      <c r="C65" s="85">
        <v>1.47E-2</v>
      </c>
      <c r="D65" s="83">
        <v>3.8800000000000001E-2</v>
      </c>
      <c r="E65" s="84">
        <v>4.5999999999999999E-2</v>
      </c>
    </row>
    <row r="66" spans="1:5">
      <c r="A66" s="82">
        <v>2024</v>
      </c>
      <c r="B66" s="83">
        <v>4.1399999999999999E-2</v>
      </c>
      <c r="C66" s="85">
        <v>1.2500000000000001E-2</v>
      </c>
      <c r="D66" s="83">
        <v>4.58E-2</v>
      </c>
      <c r="E66" s="84">
        <v>4.3299999999999998E-2</v>
      </c>
    </row>
  </sheetData>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7"/>
  <sheetViews>
    <sheetView topLeftCell="A59" workbookViewId="0">
      <selection sqref="A1:L97"/>
    </sheetView>
  </sheetViews>
  <sheetFormatPr baseColWidth="10" defaultRowHeight="14"/>
  <sheetData>
    <row r="1" spans="1:11" ht="16">
      <c r="A1" s="136">
        <v>1928</v>
      </c>
      <c r="B1" s="143">
        <v>0.43811155152887893</v>
      </c>
      <c r="C1" s="143">
        <v>3.0800000000000001E-2</v>
      </c>
      <c r="D1" s="143">
        <v>8.354708589799302E-3</v>
      </c>
      <c r="E1" s="170">
        <v>143.81115515288789</v>
      </c>
      <c r="F1" s="170">
        <v>159.91</v>
      </c>
      <c r="G1" s="135">
        <v>103.08</v>
      </c>
      <c r="H1" s="135">
        <v>100.83547085897993</v>
      </c>
      <c r="I1" s="171">
        <v>0.40731155152887893</v>
      </c>
      <c r="J1" s="172">
        <v>0.42975684293907962</v>
      </c>
      <c r="K1" s="171"/>
    </row>
    <row r="2" spans="1:11" ht="16">
      <c r="A2" s="136">
        <v>1929</v>
      </c>
      <c r="B2" s="143">
        <v>-8.2979466119096595E-2</v>
      </c>
      <c r="C2" s="143">
        <v>3.1600000000000003E-2</v>
      </c>
      <c r="D2" s="143">
        <v>4.2038041563204259E-2</v>
      </c>
      <c r="E2" s="173">
        <v>131.87778227633069</v>
      </c>
      <c r="F2" s="135">
        <v>85.375949000000006</v>
      </c>
      <c r="G2" s="135">
        <v>106.337328</v>
      </c>
      <c r="H2" s="135">
        <v>105.074396573995</v>
      </c>
      <c r="I2" s="174">
        <v>-0.1145794661190966</v>
      </c>
      <c r="J2" s="175">
        <v>-0.12501750768230085</v>
      </c>
      <c r="K2" s="174"/>
    </row>
    <row r="3" spans="1:11" ht="16">
      <c r="A3" s="136">
        <v>1930</v>
      </c>
      <c r="B3" s="143">
        <v>-0.25123636363636365</v>
      </c>
      <c r="C3" s="143">
        <v>4.5499999999999999E-2</v>
      </c>
      <c r="D3" s="143">
        <v>4.5409314348970366E-2</v>
      </c>
      <c r="E3" s="176">
        <v>98.745287812797272</v>
      </c>
      <c r="F3" s="135">
        <v>42.662361715300008</v>
      </c>
      <c r="G3" s="135">
        <v>111.17567642400002</v>
      </c>
      <c r="H3" s="135">
        <v>109.84575287805193</v>
      </c>
      <c r="I3" s="174">
        <v>-0.29673636363636363</v>
      </c>
      <c r="J3" s="175">
        <v>-0.29664567798533403</v>
      </c>
      <c r="K3" s="174"/>
    </row>
    <row r="4" spans="1:11" ht="16">
      <c r="A4" s="136">
        <v>1931</v>
      </c>
      <c r="B4" s="143">
        <v>-0.43837548891786188</v>
      </c>
      <c r="C4" s="143">
        <v>2.3099999999999999E-2</v>
      </c>
      <c r="D4" s="143">
        <v>-2.5588559619422531E-2</v>
      </c>
      <c r="E4" s="170">
        <v>55.457773989527276</v>
      </c>
      <c r="F4" s="135">
        <v>23.609350973247029</v>
      </c>
      <c r="G4" s="135">
        <v>113.74383454939441</v>
      </c>
      <c r="H4" s="135">
        <v>107.03495828159154</v>
      </c>
      <c r="I4" s="174">
        <v>-0.46147548891786189</v>
      </c>
      <c r="J4" s="175">
        <v>-0.41278692929843935</v>
      </c>
      <c r="K4" s="174"/>
    </row>
    <row r="5" spans="1:11" ht="16">
      <c r="A5" s="136">
        <v>1932</v>
      </c>
      <c r="B5" s="143">
        <v>-8.642364532019696E-2</v>
      </c>
      <c r="C5" s="143">
        <v>1.0699999999999999E-2</v>
      </c>
      <c r="D5" s="143">
        <v>8.7903069904773257E-2</v>
      </c>
      <c r="E5" s="170">
        <v>50.664911000008722</v>
      </c>
      <c r="F5" s="135">
        <v>28.44690698766534</v>
      </c>
      <c r="G5" s="135">
        <v>114.96089357907292</v>
      </c>
      <c r="H5" s="135">
        <v>116.44365970167279</v>
      </c>
      <c r="I5" s="174">
        <v>-9.7123645320196961E-2</v>
      </c>
      <c r="J5" s="175">
        <v>-0.17432671522497023</v>
      </c>
      <c r="K5" s="174"/>
    </row>
    <row r="6" spans="1:11" ht="16">
      <c r="A6" s="136">
        <v>1933</v>
      </c>
      <c r="B6" s="143">
        <v>0.49982225433526023</v>
      </c>
      <c r="C6" s="143">
        <v>9.5999999999999992E-3</v>
      </c>
      <c r="D6" s="143">
        <v>1.8552720891857361E-2</v>
      </c>
      <c r="E6" s="170">
        <v>75.988361031728402</v>
      </c>
      <c r="F6" s="135">
        <v>70.645048813168103</v>
      </c>
      <c r="G6" s="135">
        <v>116.06451815743202</v>
      </c>
      <c r="H6" s="135">
        <v>118.60400641974435</v>
      </c>
      <c r="I6" s="174">
        <v>0.49022225433526023</v>
      </c>
      <c r="J6" s="175">
        <v>0.48126953344340284</v>
      </c>
      <c r="K6" s="174"/>
    </row>
    <row r="7" spans="1:11" ht="16">
      <c r="A7" s="136">
        <v>1934</v>
      </c>
      <c r="B7" s="143">
        <v>-1.1885656970912803E-2</v>
      </c>
      <c r="C7" s="143">
        <v>2.7833333333333334E-3</v>
      </c>
      <c r="D7" s="143">
        <v>7.9634426179656104E-2</v>
      </c>
      <c r="E7" s="170">
        <v>75.085189438723404</v>
      </c>
      <c r="F7" s="135">
        <v>84.781123080683031</v>
      </c>
      <c r="G7" s="135">
        <v>116.38756439963687</v>
      </c>
      <c r="H7" s="135">
        <v>128.04896841358894</v>
      </c>
      <c r="I7" s="174">
        <v>-1.4668990304246137E-2</v>
      </c>
      <c r="J7" s="175">
        <v>-9.1520083150568907E-2</v>
      </c>
      <c r="K7" s="174"/>
    </row>
    <row r="8" spans="1:11" ht="16">
      <c r="A8" s="136">
        <v>1935</v>
      </c>
      <c r="B8" s="143">
        <v>0.46740421052631581</v>
      </c>
      <c r="C8" s="143">
        <v>1.6750000000000001E-3</v>
      </c>
      <c r="D8" s="143">
        <v>4.4720477296566127E-2</v>
      </c>
      <c r="E8" s="170">
        <v>110.18032313054879</v>
      </c>
      <c r="F8" s="135">
        <v>129.86772433499027</v>
      </c>
      <c r="G8" s="135">
        <v>116.58251357000627</v>
      </c>
      <c r="H8" s="135">
        <v>133.77537939837757</v>
      </c>
      <c r="I8" s="174">
        <v>0.46572921052631583</v>
      </c>
      <c r="J8" s="175">
        <v>0.42268373322974967</v>
      </c>
      <c r="K8" s="174"/>
    </row>
    <row r="9" spans="1:11" ht="16">
      <c r="A9" s="136">
        <v>1936</v>
      </c>
      <c r="B9" s="143">
        <v>0.31943410275502609</v>
      </c>
      <c r="C9" s="143">
        <v>1.725E-3</v>
      </c>
      <c r="D9" s="143">
        <v>5.0178754045450601E-2</v>
      </c>
      <c r="E9" s="170">
        <v>145.37567579101449</v>
      </c>
      <c r="F9" s="135">
        <v>250.41094606272824</v>
      </c>
      <c r="G9" s="135">
        <v>116.78361840591452</v>
      </c>
      <c r="H9" s="135">
        <v>140.4880612585456</v>
      </c>
      <c r="I9" s="174">
        <v>0.31770910275502612</v>
      </c>
      <c r="J9" s="175">
        <v>0.26925534870957551</v>
      </c>
      <c r="K9" s="174"/>
    </row>
    <row r="10" spans="1:11" ht="16">
      <c r="A10" s="136">
        <v>1937</v>
      </c>
      <c r="B10" s="143">
        <v>-0.35336728754365537</v>
      </c>
      <c r="C10" s="143">
        <v>2.7583333333333331E-3</v>
      </c>
      <c r="D10" s="143">
        <v>1.379146059646038E-2</v>
      </c>
      <c r="E10" s="170">
        <v>94.004667561917856</v>
      </c>
      <c r="F10" s="135">
        <v>116.99199400050662</v>
      </c>
      <c r="G10" s="135">
        <v>117.10574655335085</v>
      </c>
      <c r="H10" s="135">
        <v>142.42559681966594</v>
      </c>
      <c r="I10" s="174">
        <v>-0.35612562087698868</v>
      </c>
      <c r="J10" s="175">
        <v>-0.36715874814011573</v>
      </c>
      <c r="K10" s="174"/>
    </row>
    <row r="11" spans="1:11" ht="16">
      <c r="A11" s="136">
        <v>1938</v>
      </c>
      <c r="B11" s="143">
        <v>0.29282654028436017</v>
      </c>
      <c r="C11" s="143">
        <v>6.4999999999999997E-4</v>
      </c>
      <c r="D11" s="143">
        <v>4.2132485322046068E-2</v>
      </c>
      <c r="E11" s="170">
        <v>121.53172913465568</v>
      </c>
      <c r="F11" s="135">
        <v>118.86386590451473</v>
      </c>
      <c r="G11" s="135">
        <v>117.18186528861054</v>
      </c>
      <c r="H11" s="135">
        <v>148.42634118715418</v>
      </c>
      <c r="I11" s="174">
        <v>0.29217654028436019</v>
      </c>
      <c r="J11" s="175">
        <v>0.25069405496231412</v>
      </c>
      <c r="K11" s="174"/>
    </row>
    <row r="12" spans="1:11" ht="16">
      <c r="A12" s="136">
        <v>1939</v>
      </c>
      <c r="B12" s="143">
        <v>-1.0975646879756443E-2</v>
      </c>
      <c r="C12" s="143">
        <v>4.5833333333333332E-4</v>
      </c>
      <c r="D12" s="143">
        <v>4.4122613942060671E-2</v>
      </c>
      <c r="E12" s="170">
        <v>120.19783979098749</v>
      </c>
      <c r="F12" s="135">
        <v>112.05296638818604</v>
      </c>
      <c r="G12" s="135">
        <v>117.23557364353447</v>
      </c>
      <c r="H12" s="135">
        <v>154.97529933818757</v>
      </c>
      <c r="I12" s="174">
        <v>-1.1433980213089777E-2</v>
      </c>
      <c r="J12" s="175">
        <v>-5.509826082181711E-2</v>
      </c>
      <c r="K12" s="174"/>
    </row>
    <row r="13" spans="1:11" ht="16">
      <c r="A13" s="136">
        <v>1940</v>
      </c>
      <c r="B13" s="143">
        <v>-0.10672873194221515</v>
      </c>
      <c r="C13" s="143">
        <v>3.5833333333333333E-4</v>
      </c>
      <c r="D13" s="143">
        <v>5.4024815962845509E-2</v>
      </c>
      <c r="E13" s="170">
        <v>107.36927676790187</v>
      </c>
      <c r="F13" s="135">
        <v>76.408917780104048</v>
      </c>
      <c r="G13" s="135">
        <v>117.27758305742339</v>
      </c>
      <c r="H13" s="135">
        <v>163.34781136372007</v>
      </c>
      <c r="I13" s="174">
        <v>-0.10708706527554848</v>
      </c>
      <c r="J13" s="175">
        <v>-0.16075354790506066</v>
      </c>
      <c r="K13" s="174"/>
    </row>
    <row r="14" spans="1:11" ht="16">
      <c r="A14" s="136">
        <v>1941</v>
      </c>
      <c r="B14" s="143">
        <v>-0.12771455576559551</v>
      </c>
      <c r="C14" s="143">
        <v>1.2916666666666669E-3</v>
      </c>
      <c r="D14" s="143">
        <v>-2.0221975848580105E-2</v>
      </c>
      <c r="E14" s="170">
        <v>93.656657282615996</v>
      </c>
      <c r="F14" s="135">
        <v>72.175863735086281</v>
      </c>
      <c r="G14" s="135">
        <v>117.42906660220589</v>
      </c>
      <c r="H14" s="135">
        <v>160.0445958674045</v>
      </c>
      <c r="I14" s="174">
        <v>-0.12900622243226217</v>
      </c>
      <c r="J14" s="175">
        <v>-0.10749257991701541</v>
      </c>
      <c r="K14" s="174"/>
    </row>
    <row r="15" spans="1:11" ht="16">
      <c r="A15" s="136">
        <v>1942</v>
      </c>
      <c r="B15" s="143">
        <v>0.19173762945914843</v>
      </c>
      <c r="C15" s="143">
        <v>3.4250000000000001E-3</v>
      </c>
      <c r="D15" s="143">
        <v>2.2948682374484164E-2</v>
      </c>
      <c r="E15" s="170">
        <v>111.61416273305268</v>
      </c>
      <c r="F15" s="135">
        <v>116.77332993699611</v>
      </c>
      <c r="G15" s="135">
        <v>117.83126115531844</v>
      </c>
      <c r="H15" s="135">
        <v>163.71740846371824</v>
      </c>
      <c r="I15" s="174">
        <v>0.18831262945914842</v>
      </c>
      <c r="J15" s="175">
        <v>0.16878894708466427</v>
      </c>
      <c r="K15" s="174"/>
    </row>
    <row r="16" spans="1:11" ht="16">
      <c r="A16" s="136">
        <v>1943</v>
      </c>
      <c r="B16" s="143">
        <v>0.25061310133060394</v>
      </c>
      <c r="C16" s="143">
        <v>3.8E-3</v>
      </c>
      <c r="D16" s="143">
        <v>2.4899999999999999E-2</v>
      </c>
      <c r="E16" s="170">
        <v>139.58613420800171</v>
      </c>
      <c r="F16" s="135">
        <v>277.88549325106959</v>
      </c>
      <c r="G16" s="135">
        <v>118.27901994770866</v>
      </c>
      <c r="H16" s="135">
        <v>167.79397193446482</v>
      </c>
      <c r="I16" s="174">
        <v>0.24681310133060394</v>
      </c>
      <c r="J16" s="175">
        <v>0.22571310133060393</v>
      </c>
      <c r="K16" s="174"/>
    </row>
    <row r="17" spans="1:11" ht="16">
      <c r="A17" s="136">
        <v>1944</v>
      </c>
      <c r="B17" s="143">
        <v>0.19030676949443009</v>
      </c>
      <c r="C17" s="143">
        <v>3.8E-3</v>
      </c>
      <c r="D17" s="143">
        <v>2.5776111579070303E-2</v>
      </c>
      <c r="E17" s="170">
        <v>166.15032047534245</v>
      </c>
      <c r="F17" s="135">
        <v>471.65504769504042</v>
      </c>
      <c r="G17" s="135">
        <v>118.72848022350996</v>
      </c>
      <c r="H17" s="135">
        <v>172.11904807734297</v>
      </c>
      <c r="I17" s="174">
        <v>0.1865067694944301</v>
      </c>
      <c r="J17" s="175">
        <v>0.16453065791535978</v>
      </c>
      <c r="K17" s="174"/>
    </row>
    <row r="18" spans="1:11" ht="16">
      <c r="A18" s="136">
        <v>1945</v>
      </c>
      <c r="B18" s="143">
        <v>0.35821084337349401</v>
      </c>
      <c r="C18" s="143">
        <v>3.8E-3</v>
      </c>
      <c r="D18" s="143">
        <v>3.8044173419237229E-2</v>
      </c>
      <c r="E18" s="170">
        <v>225.66716689959119</v>
      </c>
      <c r="F18" s="135">
        <v>901.28563064045272</v>
      </c>
      <c r="G18" s="135">
        <v>119.1796484483593</v>
      </c>
      <c r="H18" s="135">
        <v>178.66717499115143</v>
      </c>
      <c r="I18" s="174">
        <v>0.35441084337349399</v>
      </c>
      <c r="J18" s="175">
        <v>0.3201666699542568</v>
      </c>
      <c r="K18" s="174"/>
    </row>
    <row r="19" spans="1:11" ht="16">
      <c r="A19" s="136">
        <v>1946</v>
      </c>
      <c r="B19" s="143">
        <v>-8.4291474654377807E-2</v>
      </c>
      <c r="C19" s="143">
        <v>3.8E-3</v>
      </c>
      <c r="D19" s="143">
        <v>3.1283745375695685E-2</v>
      </c>
      <c r="E19" s="170">
        <v>206.64534862054904</v>
      </c>
      <c r="F19" s="135">
        <v>763.20867202633531</v>
      </c>
      <c r="G19" s="135">
        <v>119.63253111246307</v>
      </c>
      <c r="H19" s="135">
        <v>184.25655340056949</v>
      </c>
      <c r="I19" s="174">
        <v>-8.8091474654377805E-2</v>
      </c>
      <c r="J19" s="175">
        <v>-0.11557522003007349</v>
      </c>
      <c r="K19" s="174"/>
    </row>
    <row r="20" spans="1:11" ht="16">
      <c r="A20" s="136">
        <v>1947</v>
      </c>
      <c r="B20" s="143">
        <v>5.1999999999999998E-2</v>
      </c>
      <c r="C20" s="143">
        <v>6.0083333333333334E-3</v>
      </c>
      <c r="D20" s="143">
        <v>9.1969680628322358E-3</v>
      </c>
      <c r="E20" s="170">
        <v>217.3909067488176</v>
      </c>
      <c r="F20" s="135">
        <v>755.88186877488249</v>
      </c>
      <c r="G20" s="135">
        <v>120.35132323689713</v>
      </c>
      <c r="H20" s="135">
        <v>185.95115503756207</v>
      </c>
      <c r="I20" s="174">
        <v>4.5991666666666667E-2</v>
      </c>
      <c r="J20" s="175">
        <v>4.2803031937167765E-2</v>
      </c>
      <c r="K20" s="174"/>
    </row>
    <row r="21" spans="1:11" ht="16">
      <c r="A21" s="136">
        <v>1948</v>
      </c>
      <c r="B21" s="143">
        <v>5.7045751633986834E-2</v>
      </c>
      <c r="C21" s="143">
        <v>1.0449999999999999E-2</v>
      </c>
      <c r="D21" s="143">
        <v>1.9510369413175046E-2</v>
      </c>
      <c r="E21" s="170">
        <v>229.79213442269784</v>
      </c>
      <c r="F21" s="135">
        <v>750.51510750658088</v>
      </c>
      <c r="G21" s="135">
        <v>121.60899456472271</v>
      </c>
      <c r="H21" s="135">
        <v>189.57913076515149</v>
      </c>
      <c r="I21" s="174">
        <v>4.6595751633986833E-2</v>
      </c>
      <c r="J21" s="175">
        <v>3.7535382220811792E-2</v>
      </c>
      <c r="K21" s="174"/>
    </row>
    <row r="22" spans="1:11" ht="16">
      <c r="A22" s="136">
        <v>1949</v>
      </c>
      <c r="B22" s="143">
        <v>0.18303223684210526</v>
      </c>
      <c r="C22" s="143">
        <v>1.115E-2</v>
      </c>
      <c r="D22" s="143">
        <v>4.6634851827973139E-2</v>
      </c>
      <c r="E22" s="170">
        <v>271.85150279480598</v>
      </c>
      <c r="F22" s="135">
        <v>954.8053197698722</v>
      </c>
      <c r="G22" s="135">
        <v>122.96493485411936</v>
      </c>
      <c r="H22" s="135">
        <v>198.42012543806027</v>
      </c>
      <c r="I22" s="174">
        <v>0.17188223684210527</v>
      </c>
      <c r="J22" s="175">
        <v>0.13639738501413212</v>
      </c>
      <c r="K22" s="174"/>
    </row>
    <row r="23" spans="1:11" ht="16">
      <c r="A23" s="136">
        <v>1950</v>
      </c>
      <c r="B23" s="143">
        <v>0.30805539011316263</v>
      </c>
      <c r="C23" s="143">
        <v>1.2033333333333333E-2</v>
      </c>
      <c r="D23" s="143">
        <v>4.2959574171096103E-3</v>
      </c>
      <c r="E23" s="170">
        <v>355.59682354110947</v>
      </c>
      <c r="F23" s="135">
        <v>1458.7515675444108</v>
      </c>
      <c r="G23" s="135">
        <v>124.4446129035306</v>
      </c>
      <c r="H23" s="135">
        <v>199.2725298476397</v>
      </c>
      <c r="I23" s="174">
        <v>0.29602205677982929</v>
      </c>
      <c r="J23" s="175">
        <v>0.30375943269605304</v>
      </c>
      <c r="K23" s="174"/>
    </row>
    <row r="24" spans="1:11" ht="16">
      <c r="A24" s="136">
        <v>1951</v>
      </c>
      <c r="B24" s="143">
        <v>0.23678463044542339</v>
      </c>
      <c r="C24" s="143">
        <v>1.5175000000000001E-2</v>
      </c>
      <c r="D24" s="143">
        <v>-2.9531392208319886E-3</v>
      </c>
      <c r="E24" s="170">
        <v>439.7966859908575</v>
      </c>
      <c r="F24" s="135">
        <v>1515.9346289921516</v>
      </c>
      <c r="G24" s="135">
        <v>126.33305990434167</v>
      </c>
      <c r="H24" s="135">
        <v>198.68405032411223</v>
      </c>
      <c r="I24" s="174">
        <v>0.22160963044542339</v>
      </c>
      <c r="J24" s="175">
        <v>0.23973776966625537</v>
      </c>
      <c r="K24" s="174"/>
    </row>
    <row r="25" spans="1:11" ht="16">
      <c r="A25" s="136">
        <v>1952</v>
      </c>
      <c r="B25" s="143">
        <v>0.18150988641144306</v>
      </c>
      <c r="C25" s="143">
        <v>1.7225000000000001E-2</v>
      </c>
      <c r="D25" s="143">
        <v>2.2679961918305656E-2</v>
      </c>
      <c r="E25" s="170">
        <v>519.62413250918712</v>
      </c>
      <c r="F25" s="135">
        <v>1533.9742510771582</v>
      </c>
      <c r="G25" s="135">
        <v>128.50914686119395</v>
      </c>
      <c r="H25" s="135">
        <v>203.19019701923781</v>
      </c>
      <c r="I25" s="174">
        <v>0.16428488641144307</v>
      </c>
      <c r="J25" s="175">
        <v>0.1588299244931374</v>
      </c>
      <c r="K25" s="174"/>
    </row>
    <row r="26" spans="1:11" ht="16">
      <c r="A26" s="136">
        <v>1953</v>
      </c>
      <c r="B26" s="143">
        <v>-1.2082047421904465E-2</v>
      </c>
      <c r="C26" s="143">
        <v>1.8908333333333333E-2</v>
      </c>
      <c r="D26" s="143">
        <v>4.1438402589088513E-2</v>
      </c>
      <c r="E26" s="170">
        <v>513.34600909864514</v>
      </c>
      <c r="F26" s="135">
        <v>1445.0037445146829</v>
      </c>
      <c r="G26" s="135">
        <v>130.93904064642769</v>
      </c>
      <c r="H26" s="135">
        <v>211.61007420547722</v>
      </c>
      <c r="I26" s="174">
        <v>-3.0990380755237797E-2</v>
      </c>
      <c r="J26" s="175">
        <v>-5.3520450010992981E-2</v>
      </c>
      <c r="K26" s="174"/>
    </row>
    <row r="27" spans="1:11" ht="16">
      <c r="A27" s="136">
        <v>1954</v>
      </c>
      <c r="B27" s="143">
        <v>0.52563321241434902</v>
      </c>
      <c r="C27" s="143">
        <v>9.3752000000000002E-3</v>
      </c>
      <c r="D27" s="143">
        <v>3.2898034558095555E-2</v>
      </c>
      <c r="E27" s="170">
        <v>783.17772094125166</v>
      </c>
      <c r="F27" s="135">
        <v>2368.3611372595651</v>
      </c>
      <c r="G27" s="135">
        <v>132.16662034029608</v>
      </c>
      <c r="H27" s="135">
        <v>218.57162973953018</v>
      </c>
      <c r="I27" s="174">
        <v>0.51625801241434899</v>
      </c>
      <c r="J27" s="175">
        <v>0.49273517785625348</v>
      </c>
      <c r="K27" s="174"/>
    </row>
    <row r="28" spans="1:11" ht="16">
      <c r="A28" s="136">
        <v>1955</v>
      </c>
      <c r="B28" s="143">
        <v>0.32597331851028349</v>
      </c>
      <c r="C28" s="143">
        <v>1.7243426294820716E-2</v>
      </c>
      <c r="D28" s="143">
        <v>-1.3364391288618781E-2</v>
      </c>
      <c r="E28" s="170">
        <v>1038.4727616197922</v>
      </c>
      <c r="F28" s="135">
        <v>3009.9501693431812</v>
      </c>
      <c r="G28" s="135">
        <v>134.44562571676951</v>
      </c>
      <c r="H28" s="135">
        <v>215.65055295509998</v>
      </c>
      <c r="I28" s="174">
        <v>0.30872989221546276</v>
      </c>
      <c r="J28" s="175">
        <v>0.33933770979890227</v>
      </c>
      <c r="K28" s="174"/>
    </row>
    <row r="29" spans="1:11" ht="16">
      <c r="A29" s="136">
        <v>1956</v>
      </c>
      <c r="B29" s="143">
        <v>7.4395118733509347E-2</v>
      </c>
      <c r="C29" s="143">
        <v>2.6213888888888887E-2</v>
      </c>
      <c r="D29" s="143">
        <v>-2.2557738173154165E-2</v>
      </c>
      <c r="E29" s="170">
        <v>1115.7300660220119</v>
      </c>
      <c r="F29" s="135">
        <v>2980.1516626666835</v>
      </c>
      <c r="G29" s="135">
        <v>137.96996841090606</v>
      </c>
      <c r="H29" s="135">
        <v>210.78596424464291</v>
      </c>
      <c r="I29" s="174">
        <v>4.8181229844620463E-2</v>
      </c>
      <c r="J29" s="175">
        <v>9.6952856906663512E-2</v>
      </c>
      <c r="K29" s="174"/>
    </row>
    <row r="30" spans="1:11" ht="16">
      <c r="A30" s="136">
        <v>1957</v>
      </c>
      <c r="B30" s="143">
        <v>-0.1045736018855796</v>
      </c>
      <c r="C30" s="143">
        <v>3.2245669291338583E-2</v>
      </c>
      <c r="D30" s="143">
        <v>6.7970128466249904E-2</v>
      </c>
      <c r="E30" s="170">
        <v>999.05415428605454</v>
      </c>
      <c r="F30" s="135">
        <v>2525.6785341100144</v>
      </c>
      <c r="G30" s="135">
        <v>142.41890238442059</v>
      </c>
      <c r="H30" s="135">
        <v>225.11311331323367</v>
      </c>
      <c r="I30" s="174">
        <v>-0.13681927117691817</v>
      </c>
      <c r="J30" s="175">
        <v>-0.17254373035182952</v>
      </c>
      <c r="K30" s="174"/>
    </row>
    <row r="31" spans="1:11" ht="16">
      <c r="A31" s="136">
        <v>1958</v>
      </c>
      <c r="B31" s="143">
        <v>0.43719954988747184</v>
      </c>
      <c r="C31" s="143">
        <v>1.7665461847389558E-2</v>
      </c>
      <c r="D31" s="143">
        <v>-2.0990181755274694E-2</v>
      </c>
      <c r="E31" s="170">
        <v>1435.8401808531264</v>
      </c>
      <c r="F31" s="135">
        <v>4277.2365975153089</v>
      </c>
      <c r="G31" s="135">
        <v>144.93479807083966</v>
      </c>
      <c r="H31" s="135">
        <v>220.38794814929315</v>
      </c>
      <c r="I31" s="174">
        <v>0.4195340880400823</v>
      </c>
      <c r="J31" s="175">
        <v>0.45818973164274651</v>
      </c>
      <c r="K31" s="174"/>
    </row>
    <row r="32" spans="1:11" ht="16">
      <c r="A32" s="136">
        <v>1959</v>
      </c>
      <c r="B32" s="143">
        <v>0.12056457163557326</v>
      </c>
      <c r="C32" s="143">
        <v>3.3860159362549803E-2</v>
      </c>
      <c r="D32" s="143">
        <v>-2.6466312591385065E-2</v>
      </c>
      <c r="E32" s="170">
        <v>1608.9516371948275</v>
      </c>
      <c r="F32" s="135">
        <v>4822.156540038759</v>
      </c>
      <c r="G32" s="135">
        <v>149.84231343069726</v>
      </c>
      <c r="H32" s="135">
        <v>214.55509182219998</v>
      </c>
      <c r="I32" s="174">
        <v>8.6704412273023446E-2</v>
      </c>
      <c r="J32" s="175">
        <v>0.14703088422695831</v>
      </c>
      <c r="K32" s="174"/>
    </row>
    <row r="33" spans="1:11" ht="16">
      <c r="A33" s="136">
        <v>1960</v>
      </c>
      <c r="B33" s="143">
        <v>3.36535314743695E-3</v>
      </c>
      <c r="C33" s="143">
        <v>2.8729718875502006E-2</v>
      </c>
      <c r="D33" s="143">
        <v>0.11639503690963365</v>
      </c>
      <c r="E33" s="170">
        <v>1614.366327651135</v>
      </c>
      <c r="F33" s="135">
        <v>4653.863276791406</v>
      </c>
      <c r="G33" s="135">
        <v>154.14724097121606</v>
      </c>
      <c r="H33" s="135">
        <v>239.52823965399477</v>
      </c>
      <c r="I33" s="174">
        <v>-2.5364365728065056E-2</v>
      </c>
      <c r="J33" s="175">
        <v>-0.1130296837621967</v>
      </c>
      <c r="K33" s="174">
        <v>6.1119788031217315E-2</v>
      </c>
    </row>
    <row r="34" spans="1:11" ht="16">
      <c r="A34" s="136">
        <v>1961</v>
      </c>
      <c r="B34" s="143">
        <v>0.26637712958182752</v>
      </c>
      <c r="C34" s="143">
        <v>2.3524899598393576E-2</v>
      </c>
      <c r="D34" s="143">
        <v>2.0609208076323167E-2</v>
      </c>
      <c r="E34" s="170">
        <v>2044.3965961044005</v>
      </c>
      <c r="F34" s="135">
        <v>6042.1106922582821</v>
      </c>
      <c r="G34" s="135">
        <v>157.77353933843332</v>
      </c>
      <c r="H34" s="135">
        <v>244.46472698517934</v>
      </c>
      <c r="I34" s="174">
        <v>0.24285222998343395</v>
      </c>
      <c r="J34" s="175">
        <v>0.24576792150550436</v>
      </c>
      <c r="K34" s="174">
        <v>6.6173591829972622E-2</v>
      </c>
    </row>
    <row r="35" spans="1:11" ht="16">
      <c r="A35" s="136">
        <v>1962</v>
      </c>
      <c r="B35" s="143">
        <v>-8.8114605171208879E-2</v>
      </c>
      <c r="C35" s="143">
        <v>2.7723694779116466E-2</v>
      </c>
      <c r="D35" s="143">
        <v>5.693544054008462E-2</v>
      </c>
      <c r="E35" s="170">
        <v>1864.2553972252979</v>
      </c>
      <c r="F35" s="135">
        <v>5452.4006886938732</v>
      </c>
      <c r="G35" s="135">
        <v>162.14760478727297</v>
      </c>
      <c r="H35" s="135">
        <v>258.38343391259201</v>
      </c>
      <c r="I35" s="174">
        <v>-0.11583829995032535</v>
      </c>
      <c r="J35" s="175">
        <v>-0.14505004571129348</v>
      </c>
      <c r="K35" s="174">
        <v>5.9683465378989942E-2</v>
      </c>
    </row>
    <row r="36" spans="1:11" ht="16">
      <c r="A36" s="136">
        <v>1963</v>
      </c>
      <c r="B36" s="143">
        <v>0.22611927099841514</v>
      </c>
      <c r="C36" s="143">
        <v>3.1560240963855422E-2</v>
      </c>
      <c r="D36" s="143">
        <v>1.6841620739546127E-2</v>
      </c>
      <c r="E36" s="170">
        <v>2285.7994686007432</v>
      </c>
      <c r="F36" s="135">
        <v>6539.0641459505623</v>
      </c>
      <c r="G36" s="135">
        <v>167.2650222660713</v>
      </c>
      <c r="H36" s="135">
        <v>262.73502971192949</v>
      </c>
      <c r="I36" s="174">
        <v>0.19455903003455971</v>
      </c>
      <c r="J36" s="175">
        <v>0.20927765025886902</v>
      </c>
      <c r="K36" s="174">
        <v>6.3618993911514821E-2</v>
      </c>
    </row>
    <row r="37" spans="1:11" ht="16">
      <c r="A37" s="136">
        <v>1964</v>
      </c>
      <c r="B37" s="143">
        <v>0.16415455878432425</v>
      </c>
      <c r="C37" s="143">
        <v>3.5457370517928286E-2</v>
      </c>
      <c r="D37" s="143">
        <v>3.7280648911540815E-2</v>
      </c>
      <c r="E37" s="170">
        <v>2661.0238718383412</v>
      </c>
      <c r="F37" s="135">
        <v>8052.8574957381179</v>
      </c>
      <c r="G37" s="135">
        <v>173.1958001352489</v>
      </c>
      <c r="H37" s="135">
        <v>272.52996211138321</v>
      </c>
      <c r="I37" s="174">
        <v>0.12869718826639598</v>
      </c>
      <c r="J37" s="175">
        <v>0.12687390987278344</v>
      </c>
      <c r="K37" s="174">
        <v>6.5267777442658215E-2</v>
      </c>
    </row>
    <row r="38" spans="1:11" ht="16">
      <c r="A38" s="136">
        <v>1965</v>
      </c>
      <c r="B38" s="143">
        <v>0.12399242477876114</v>
      </c>
      <c r="C38" s="143">
        <v>3.9490763052208833E-2</v>
      </c>
      <c r="D38" s="143">
        <v>7.1885509359262342E-3</v>
      </c>
      <c r="E38" s="170">
        <v>2990.9706741017444</v>
      </c>
      <c r="F38" s="135">
        <v>11729.792228292141</v>
      </c>
      <c r="G38" s="135">
        <v>180.03543444002773</v>
      </c>
      <c r="H38" s="135">
        <v>274.48905762558695</v>
      </c>
      <c r="I38" s="174">
        <v>8.450166172655231E-2</v>
      </c>
      <c r="J38" s="175">
        <v>0.11680387384283492</v>
      </c>
      <c r="K38" s="174">
        <v>6.6617941689874449E-2</v>
      </c>
    </row>
    <row r="39" spans="1:11" ht="16">
      <c r="A39" s="136">
        <v>1966</v>
      </c>
      <c r="B39" s="143">
        <v>-9.9709542356377898E-2</v>
      </c>
      <c r="C39" s="143">
        <v>4.8557199999999995E-2</v>
      </c>
      <c r="D39" s="143">
        <v>2.9079409324299622E-2</v>
      </c>
      <c r="E39" s="170">
        <v>2692.7423569857124</v>
      </c>
      <c r="F39" s="135">
        <v>10616.634945827216</v>
      </c>
      <c r="G39" s="135">
        <v>188.77745103721907</v>
      </c>
      <c r="H39" s="135">
        <v>282.47103728732264</v>
      </c>
      <c r="I39" s="174">
        <v>-0.14826674235637788</v>
      </c>
      <c r="J39" s="175">
        <v>-0.12878895168067753</v>
      </c>
      <c r="K39" s="174">
        <v>6.1123719679815336E-2</v>
      </c>
    </row>
    <row r="40" spans="1:11" ht="16">
      <c r="A40" s="136">
        <v>1967</v>
      </c>
      <c r="B40" s="143">
        <v>0.23802966513133328</v>
      </c>
      <c r="C40" s="143">
        <v>4.2934538152610439E-2</v>
      </c>
      <c r="D40" s="143">
        <v>-1.5806209932824666E-2</v>
      </c>
      <c r="E40" s="170">
        <v>3333.6949185039784</v>
      </c>
      <c r="F40" s="135">
        <v>23015.802899058825</v>
      </c>
      <c r="G40" s="135">
        <v>196.8825237111291</v>
      </c>
      <c r="H40" s="135">
        <v>278.0062407720165</v>
      </c>
      <c r="I40" s="174">
        <v>0.19509512697872283</v>
      </c>
      <c r="J40" s="175">
        <v>0.25383587506415795</v>
      </c>
      <c r="K40" s="174">
        <v>6.5732838776739522E-2</v>
      </c>
    </row>
    <row r="41" spans="1:11" ht="16">
      <c r="A41" s="136">
        <v>1968</v>
      </c>
      <c r="B41" s="143">
        <v>0.10814862651601535</v>
      </c>
      <c r="C41" s="143">
        <v>5.3376E-2</v>
      </c>
      <c r="D41" s="143">
        <v>3.2746196950768365E-2</v>
      </c>
      <c r="E41" s="170">
        <v>3694.2294451636035</v>
      </c>
      <c r="F41" s="135">
        <v>36986.395258787532</v>
      </c>
      <c r="G41" s="135">
        <v>207.39132529673435</v>
      </c>
      <c r="H41" s="135">
        <v>287.10988788587969</v>
      </c>
      <c r="I41" s="174">
        <v>5.4772626516015353E-2</v>
      </c>
      <c r="J41" s="175">
        <v>7.5402429565246981E-2</v>
      </c>
      <c r="K41" s="174">
        <v>6.596627828748769E-2</v>
      </c>
    </row>
    <row r="42" spans="1:11" ht="16">
      <c r="A42" s="136">
        <v>1969</v>
      </c>
      <c r="B42" s="143">
        <v>-8.2413710764490639E-2</v>
      </c>
      <c r="C42" s="143">
        <v>6.668467741935484E-2</v>
      </c>
      <c r="D42" s="143">
        <v>-5.0140493209926106E-2</v>
      </c>
      <c r="E42" s="170">
        <v>3389.7742881722256</v>
      </c>
      <c r="F42" s="135">
        <v>24762.391625758253</v>
      </c>
      <c r="G42" s="135">
        <v>221.22114892371957</v>
      </c>
      <c r="H42" s="135">
        <v>272.7140565018351</v>
      </c>
      <c r="I42" s="174">
        <v>-0.14909838818384546</v>
      </c>
      <c r="J42" s="175">
        <v>-3.2273217554564533E-2</v>
      </c>
      <c r="K42" s="174">
        <v>6.3333872734198771E-2</v>
      </c>
    </row>
    <row r="43" spans="1:11" ht="16">
      <c r="A43" s="136">
        <v>1970</v>
      </c>
      <c r="B43" s="143">
        <v>3.5611449054964189E-2</v>
      </c>
      <c r="C43" s="143">
        <v>6.3909999999999995E-2</v>
      </c>
      <c r="D43" s="143">
        <v>0.16754737183412338</v>
      </c>
      <c r="E43" s="170">
        <v>3510.4890625432981</v>
      </c>
      <c r="F43" s="135">
        <v>20057.537216864188</v>
      </c>
      <c r="G43" s="135">
        <v>235.35939255143447</v>
      </c>
      <c r="H43" s="135">
        <v>318.40657993094021</v>
      </c>
      <c r="I43" s="174">
        <v>-2.8298550945035805E-2</v>
      </c>
      <c r="J43" s="175">
        <v>-0.13193592277915919</v>
      </c>
      <c r="K43" s="174">
        <v>5.8972566666315007E-2</v>
      </c>
    </row>
    <row r="44" spans="1:11" ht="16">
      <c r="A44" s="136">
        <v>1971</v>
      </c>
      <c r="B44" s="143">
        <v>0.14221150298426474</v>
      </c>
      <c r="C44" s="143">
        <v>4.3342570281124503E-2</v>
      </c>
      <c r="D44" s="143">
        <v>9.7868966197122972E-2</v>
      </c>
      <c r="E44" s="170">
        <v>4009.720988337403</v>
      </c>
      <c r="F44" s="135">
        <v>23365.025103925094</v>
      </c>
      <c r="G44" s="135">
        <v>245.5604735644178</v>
      </c>
      <c r="H44" s="135">
        <v>349.56870273914296</v>
      </c>
      <c r="I44" s="174">
        <v>9.8868932703140233E-2</v>
      </c>
      <c r="J44" s="175">
        <v>4.434253678714177E-2</v>
      </c>
      <c r="K44" s="174">
        <v>5.8660636809878541E-2</v>
      </c>
    </row>
    <row r="45" spans="1:11" ht="16">
      <c r="A45" s="136">
        <v>1972</v>
      </c>
      <c r="B45" s="143">
        <v>0.18755362915074925</v>
      </c>
      <c r="C45" s="143">
        <v>4.0618399999999999E-2</v>
      </c>
      <c r="D45" s="143">
        <v>2.818449050444969E-2</v>
      </c>
      <c r="E45" s="170">
        <v>4761.7587115820115</v>
      </c>
      <c r="F45" s="135">
        <v>23425.774169195298</v>
      </c>
      <c r="G45" s="135">
        <v>255.53474710384677</v>
      </c>
      <c r="H45" s="135">
        <v>359.42111852214714</v>
      </c>
      <c r="I45" s="174">
        <v>0.14693522915074925</v>
      </c>
      <c r="J45" s="175">
        <v>0.15936913864629956</v>
      </c>
      <c r="K45" s="174">
        <v>6.0804303728189568E-2</v>
      </c>
    </row>
    <row r="46" spans="1:11" ht="16">
      <c r="A46" s="136">
        <v>1973</v>
      </c>
      <c r="B46" s="143">
        <v>-0.14308047437526472</v>
      </c>
      <c r="C46" s="143">
        <v>7.0354435483870964E-2</v>
      </c>
      <c r="D46" s="143">
        <v>3.6586646024150085E-2</v>
      </c>
      <c r="E46" s="170">
        <v>4080.4440162683081</v>
      </c>
      <c r="F46" s="135">
        <v>14376.397607635152</v>
      </c>
      <c r="G46" s="135">
        <v>273.51274998285163</v>
      </c>
      <c r="H46" s="135">
        <v>372.57113175912104</v>
      </c>
      <c r="I46" s="174">
        <v>-0.21343490985913569</v>
      </c>
      <c r="J46" s="175">
        <v>-0.17966712039941479</v>
      </c>
      <c r="K46" s="174">
        <v>5.4960045718843054E-2</v>
      </c>
    </row>
    <row r="47" spans="1:11" ht="16">
      <c r="A47" s="136">
        <v>1974</v>
      </c>
      <c r="B47" s="143">
        <v>-0.25901785750896972</v>
      </c>
      <c r="C47" s="143">
        <v>7.8457831325301208E-2</v>
      </c>
      <c r="D47" s="143">
        <v>1.9886086932378574E-2</v>
      </c>
      <c r="E47" s="170">
        <v>3023.5361494891954</v>
      </c>
      <c r="F47" s="135">
        <v>10522.085409028168</v>
      </c>
      <c r="G47" s="135">
        <v>294.97196718632551</v>
      </c>
      <c r="H47" s="135">
        <v>379.98011367377757</v>
      </c>
      <c r="I47" s="174">
        <v>-0.33747568883427093</v>
      </c>
      <c r="J47" s="175">
        <v>-0.27890394444134831</v>
      </c>
      <c r="K47" s="174">
        <v>4.6417018581159875E-2</v>
      </c>
    </row>
    <row r="48" spans="1:11" ht="16">
      <c r="A48" s="136">
        <v>1975</v>
      </c>
      <c r="B48" s="143">
        <v>0.36995137106184356</v>
      </c>
      <c r="C48" s="143">
        <v>5.7863855421686747E-2</v>
      </c>
      <c r="D48" s="143">
        <v>3.6052536026033838E-2</v>
      </c>
      <c r="E48" s="170">
        <v>4142.0974934477708</v>
      </c>
      <c r="F48" s="135">
        <v>16766.943099286389</v>
      </c>
      <c r="G48" s="135">
        <v>312.04018244904557</v>
      </c>
      <c r="H48" s="135">
        <v>393.67936041117781</v>
      </c>
      <c r="I48" s="174">
        <v>0.3120875156401568</v>
      </c>
      <c r="J48" s="175">
        <v>0.33389883503580975</v>
      </c>
      <c r="K48" s="174">
        <v>5.1706756781676244E-2</v>
      </c>
    </row>
    <row r="49" spans="1:11" ht="16">
      <c r="A49" s="136">
        <v>1976</v>
      </c>
      <c r="B49" s="143">
        <v>0.23830999002106662</v>
      </c>
      <c r="C49" s="143">
        <v>4.9766000000000005E-2</v>
      </c>
      <c r="D49" s="143">
        <v>0.1598456074290921</v>
      </c>
      <c r="E49" s="170">
        <v>5129.2007057775936</v>
      </c>
      <c r="F49" s="135">
        <v>24900.587196750217</v>
      </c>
      <c r="G49" s="135">
        <v>327.56917416880475</v>
      </c>
      <c r="H49" s="135">
        <v>456.607276908399</v>
      </c>
      <c r="I49" s="174">
        <v>0.18854399002106662</v>
      </c>
      <c r="J49" s="175">
        <v>7.8464382591974524E-2</v>
      </c>
      <c r="K49" s="174">
        <v>5.2196588038950109E-2</v>
      </c>
    </row>
    <row r="50" spans="1:11" ht="16">
      <c r="A50" s="136">
        <v>1977</v>
      </c>
      <c r="B50" s="143">
        <v>-6.9797040759352322E-2</v>
      </c>
      <c r="C50" s="143">
        <v>5.2609638554216867E-2</v>
      </c>
      <c r="D50" s="143">
        <v>1.2899606071070449E-2</v>
      </c>
      <c r="E50" s="170">
        <v>4771.1976750535359</v>
      </c>
      <c r="F50" s="135">
        <v>32537.597289993508</v>
      </c>
      <c r="G50" s="135">
        <v>344.80247002332891</v>
      </c>
      <c r="H50" s="135">
        <v>462.49733090970153</v>
      </c>
      <c r="I50" s="174">
        <v>-0.12240667931356919</v>
      </c>
      <c r="J50" s="175">
        <v>-8.2696646830422771E-2</v>
      </c>
      <c r="K50" s="174">
        <v>4.9266761357046551E-2</v>
      </c>
    </row>
    <row r="51" spans="1:11" ht="16">
      <c r="A51" s="136">
        <v>1978</v>
      </c>
      <c r="B51" s="143">
        <v>6.50928391167193E-2</v>
      </c>
      <c r="C51" s="143">
        <v>7.1783064516129036E-2</v>
      </c>
      <c r="D51" s="143">
        <v>-7.7758069075086478E-3</v>
      </c>
      <c r="E51" s="170">
        <v>5081.7684777098611</v>
      </c>
      <c r="F51" s="135">
        <v>42077.620815419607</v>
      </c>
      <c r="G51" s="135">
        <v>369.55344797433418</v>
      </c>
      <c r="H51" s="135">
        <v>458.90104096930958</v>
      </c>
      <c r="I51" s="174">
        <v>-6.6902253994097355E-3</v>
      </c>
      <c r="J51" s="175">
        <v>7.2868646024227948E-2</v>
      </c>
      <c r="K51" s="174">
        <v>4.9741898913203242E-2</v>
      </c>
    </row>
    <row r="52" spans="1:11" ht="16">
      <c r="A52" s="136">
        <v>1979</v>
      </c>
      <c r="B52" s="143">
        <v>0.18519490167516386</v>
      </c>
      <c r="C52" s="143">
        <v>0.10054274193548388</v>
      </c>
      <c r="D52" s="143">
        <v>6.7072031247235459E-3</v>
      </c>
      <c r="E52" s="170">
        <v>6022.8860912752862</v>
      </c>
      <c r="F52" s="135">
        <v>59737.598271651215</v>
      </c>
      <c r="G52" s="135">
        <v>406.7093649253859</v>
      </c>
      <c r="H52" s="135">
        <v>461.97898346523777</v>
      </c>
      <c r="I52" s="174">
        <v>8.4652159739679989E-2</v>
      </c>
      <c r="J52" s="175">
        <v>0.17848769855044033</v>
      </c>
      <c r="K52" s="174">
        <v>5.2132252828986925E-2</v>
      </c>
    </row>
    <row r="53" spans="1:11" ht="16">
      <c r="A53" s="136">
        <v>1980</v>
      </c>
      <c r="B53" s="143">
        <v>0.3173524550676301</v>
      </c>
      <c r="C53" s="143">
        <v>0.1139188</v>
      </c>
      <c r="D53" s="143">
        <v>-2.989744251999403E-2</v>
      </c>
      <c r="E53" s="170">
        <v>7934.2637789341807</v>
      </c>
      <c r="F53" s="135">
        <v>85072.313698658487</v>
      </c>
      <c r="G53" s="135">
        <v>453.04120772644796</v>
      </c>
      <c r="H53" s="135">
        <v>448.16699336164055</v>
      </c>
      <c r="I53" s="174">
        <v>0.20343365506763011</v>
      </c>
      <c r="J53" s="175">
        <v>0.34724989758762415</v>
      </c>
      <c r="K53" s="174">
        <v>5.7318705257589642E-2</v>
      </c>
    </row>
    <row r="54" spans="1:11" ht="16">
      <c r="A54" s="136">
        <v>1981</v>
      </c>
      <c r="B54" s="143">
        <v>-4.7023902474955762E-2</v>
      </c>
      <c r="C54" s="143">
        <v>0.14036184738955823</v>
      </c>
      <c r="D54" s="143">
        <v>8.1992153358923542E-2</v>
      </c>
      <c r="E54" s="170">
        <v>7561.1637327830058</v>
      </c>
      <c r="F54" s="135">
        <v>81550.319911534025</v>
      </c>
      <c r="G54" s="135">
        <v>516.63090858652879</v>
      </c>
      <c r="H54" s="135">
        <v>484.91317021175587</v>
      </c>
      <c r="I54" s="174">
        <v>-0.18738574986451401</v>
      </c>
      <c r="J54" s="175">
        <v>-0.12901605583387932</v>
      </c>
      <c r="K54" s="174">
        <v>5.3730990468644491E-2</v>
      </c>
    </row>
    <row r="55" spans="1:11" ht="16">
      <c r="A55" s="136">
        <v>1982</v>
      </c>
      <c r="B55" s="143">
        <v>0.20419055079559353</v>
      </c>
      <c r="C55" s="143">
        <v>0.10603413654618475</v>
      </c>
      <c r="D55" s="143">
        <v>0.32814549486295586</v>
      </c>
      <c r="E55" s="170">
        <v>9105.0819200356327</v>
      </c>
      <c r="F55" s="135">
        <v>103658.6116395509</v>
      </c>
      <c r="G55" s="135">
        <v>571.41142089157233</v>
      </c>
      <c r="H55" s="135">
        <v>644.03524241645721</v>
      </c>
      <c r="I55" s="174">
        <v>9.8156414249408783E-2</v>
      </c>
      <c r="J55" s="175">
        <v>-0.12395494406736232</v>
      </c>
      <c r="K55" s="174">
        <v>5.1038688692139678E-2</v>
      </c>
    </row>
    <row r="56" spans="1:11" ht="16">
      <c r="A56" s="136">
        <v>1983</v>
      </c>
      <c r="B56" s="143">
        <v>0.22337155858930619</v>
      </c>
      <c r="C56" s="143">
        <v>8.61764E-2</v>
      </c>
      <c r="D56" s="143">
        <v>3.2002094451429264E-2</v>
      </c>
      <c r="E56" s="170">
        <v>11138.898259597305</v>
      </c>
      <c r="F56" s="135">
        <v>140830.58977349385</v>
      </c>
      <c r="G56" s="135">
        <v>620.65360006289291</v>
      </c>
      <c r="H56" s="135">
        <v>664.64571907431775</v>
      </c>
      <c r="I56" s="174">
        <v>0.1371951585893062</v>
      </c>
      <c r="J56" s="175">
        <v>0.19136946413787692</v>
      </c>
      <c r="K56" s="174">
        <v>5.3402830654563971E-2</v>
      </c>
    </row>
    <row r="57" spans="1:11" ht="16">
      <c r="A57" s="136">
        <v>1984</v>
      </c>
      <c r="B57" s="143">
        <v>6.14614199963621E-2</v>
      </c>
      <c r="C57" s="143">
        <v>9.5402811244979929E-2</v>
      </c>
      <c r="D57" s="143">
        <v>0.13733364344102345</v>
      </c>
      <c r="E57" s="170">
        <v>11823.510763827162</v>
      </c>
      <c r="F57" s="135">
        <v>120381.98813838254</v>
      </c>
      <c r="G57" s="135">
        <v>679.86569831821032</v>
      </c>
      <c r="H57" s="135">
        <v>755.92393727227272</v>
      </c>
      <c r="I57" s="174">
        <v>-3.3941391248617829E-2</v>
      </c>
      <c r="J57" s="175">
        <v>-7.5872223444661352E-2</v>
      </c>
      <c r="K57" s="174">
        <v>5.1212126318051387E-2</v>
      </c>
    </row>
    <row r="58" spans="1:11" ht="16">
      <c r="A58" s="136">
        <v>1985</v>
      </c>
      <c r="B58" s="143">
        <v>0.31235149485768948</v>
      </c>
      <c r="C58" s="143">
        <v>7.4711290322580642E-2</v>
      </c>
      <c r="D58" s="143">
        <v>0.2571248821260641</v>
      </c>
      <c r="E58" s="170">
        <v>15516.602025374559</v>
      </c>
      <c r="F58" s="135">
        <v>150646.01995637192</v>
      </c>
      <c r="G58" s="135">
        <v>730.65934188562619</v>
      </c>
      <c r="H58" s="135">
        <v>950.2907905396761</v>
      </c>
      <c r="I58" s="174">
        <v>0.23764020453510884</v>
      </c>
      <c r="J58" s="175">
        <v>5.522661273162538E-2</v>
      </c>
      <c r="K58" s="174">
        <v>5.1284365102581608E-2</v>
      </c>
    </row>
    <row r="59" spans="1:11" ht="16">
      <c r="A59" s="136">
        <v>1986</v>
      </c>
      <c r="B59" s="143">
        <v>0.18494578758046187</v>
      </c>
      <c r="C59" s="143">
        <v>5.9692800000000004E-2</v>
      </c>
      <c r="D59" s="143">
        <v>0.24284215141767618</v>
      </c>
      <c r="E59" s="170">
        <v>18386.332207530046</v>
      </c>
      <c r="F59" s="135">
        <v>153899.97398742958</v>
      </c>
      <c r="G59" s="135">
        <v>774.27444384893658</v>
      </c>
      <c r="H59" s="135">
        <v>1181.0614505867354</v>
      </c>
      <c r="I59" s="174">
        <v>0.12525298758046188</v>
      </c>
      <c r="J59" s="175">
        <v>-5.7896363837214304E-2</v>
      </c>
      <c r="K59" s="174">
        <v>4.9663565599739057E-2</v>
      </c>
    </row>
    <row r="60" spans="1:11" ht="16">
      <c r="A60" s="136">
        <v>1987</v>
      </c>
      <c r="B60" s="143">
        <v>5.8127216418218712E-2</v>
      </c>
      <c r="C60" s="143">
        <v>5.7773600000000001E-2</v>
      </c>
      <c r="D60" s="143">
        <v>-4.9605089379262279E-2</v>
      </c>
      <c r="E60" s="170">
        <v>19455.07851889441</v>
      </c>
      <c r="F60" s="135">
        <v>132307.80763699321</v>
      </c>
      <c r="G60" s="135">
        <v>819.00706585808746</v>
      </c>
      <c r="H60" s="135">
        <v>1122.4747917679792</v>
      </c>
      <c r="I60" s="174">
        <v>3.536164182187107E-4</v>
      </c>
      <c r="J60" s="175">
        <v>0.107732305797481</v>
      </c>
      <c r="K60" s="174">
        <v>5.0693590437507208E-2</v>
      </c>
    </row>
    <row r="61" spans="1:11" ht="16">
      <c r="A61" s="136">
        <v>1988</v>
      </c>
      <c r="B61" s="143">
        <v>0.16537192812044688</v>
      </c>
      <c r="C61" s="143">
        <v>6.6684400000000005E-2</v>
      </c>
      <c r="D61" s="143">
        <v>8.2235958434841674E-2</v>
      </c>
      <c r="E61" s="170">
        <v>22672.402365298665</v>
      </c>
      <c r="F61" s="135">
        <v>155289.67382353893</v>
      </c>
      <c r="G61" s="135">
        <v>873.62206064059444</v>
      </c>
      <c r="H61" s="135">
        <v>1214.7825820879684</v>
      </c>
      <c r="I61" s="174">
        <v>9.8687528120446871E-2</v>
      </c>
      <c r="J61" s="175">
        <v>8.3135969685605202E-2</v>
      </c>
      <c r="K61" s="174">
        <v>5.1199933578993884E-2</v>
      </c>
    </row>
    <row r="62" spans="1:11" ht="16">
      <c r="A62" s="136">
        <v>1989</v>
      </c>
      <c r="B62" s="143">
        <v>0.31475183638196724</v>
      </c>
      <c r="C62" s="143">
        <v>8.111560000000001E-2</v>
      </c>
      <c r="D62" s="143">
        <v>0.17693647159446219</v>
      </c>
      <c r="E62" s="170">
        <v>29808.582644967279</v>
      </c>
      <c r="F62" s="135">
        <v>166082.30615427491</v>
      </c>
      <c r="G62" s="135">
        <v>944.48643826269256</v>
      </c>
      <c r="H62" s="135">
        <v>1429.7219259170236</v>
      </c>
      <c r="I62" s="174">
        <v>0.23363623638196723</v>
      </c>
      <c r="J62" s="175">
        <v>0.13781536478750506</v>
      </c>
      <c r="K62" s="174">
        <v>5.240982169336883E-2</v>
      </c>
    </row>
    <row r="63" spans="1:11" ht="16">
      <c r="A63" s="136">
        <v>1990</v>
      </c>
      <c r="B63" s="143">
        <v>-3.0644516129032118E-2</v>
      </c>
      <c r="C63" s="143">
        <v>7.4964799999999998E-2</v>
      </c>
      <c r="D63" s="143">
        <v>6.2353753335533363E-2</v>
      </c>
      <c r="E63" s="170">
        <v>28895.113053319994</v>
      </c>
      <c r="F63" s="135">
        <v>119712.12627600135</v>
      </c>
      <c r="G63" s="135">
        <v>1015.2896752097677</v>
      </c>
      <c r="H63" s="135">
        <v>1518.8704542240573</v>
      </c>
      <c r="I63" s="174">
        <v>-0.10560931612903211</v>
      </c>
      <c r="J63" s="175">
        <v>-9.2998269464565478E-2</v>
      </c>
      <c r="K63" s="174">
        <v>4.9979953137364364E-2</v>
      </c>
    </row>
    <row r="64" spans="1:11" ht="16">
      <c r="A64" s="136">
        <v>1991</v>
      </c>
      <c r="B64" s="143">
        <v>0.30234843134879757</v>
      </c>
      <c r="C64" s="143">
        <v>5.3756000000000005E-2</v>
      </c>
      <c r="D64" s="143">
        <v>0.15004510019517303</v>
      </c>
      <c r="E64" s="170">
        <v>37631.505158637461</v>
      </c>
      <c r="F64" s="135">
        <v>175102.92710390719</v>
      </c>
      <c r="G64" s="135">
        <v>1069.8675869903439</v>
      </c>
      <c r="H64" s="135">
        <v>1746.769523711594</v>
      </c>
      <c r="I64" s="174">
        <v>0.24859243134879758</v>
      </c>
      <c r="J64" s="175">
        <v>0.15230333115362454</v>
      </c>
      <c r="K64" s="174">
        <v>5.13850639844049E-2</v>
      </c>
    </row>
    <row r="65" spans="1:11" ht="16">
      <c r="A65" s="136">
        <v>1992</v>
      </c>
      <c r="B65" s="143">
        <v>7.493727972380064E-2</v>
      </c>
      <c r="C65" s="143">
        <v>3.4313147410358569E-2</v>
      </c>
      <c r="D65" s="143">
        <v>9.3616373162079422E-2</v>
      </c>
      <c r="E65" s="170">
        <v>40451.507787137925</v>
      </c>
      <c r="F65" s="135">
        <v>219771.68380811394</v>
      </c>
      <c r="G65" s="135">
        <v>1106.5781112123082</v>
      </c>
      <c r="H65" s="135">
        <v>1910.2957512715263</v>
      </c>
      <c r="I65" s="174">
        <v>4.0624132313442071E-2</v>
      </c>
      <c r="J65" s="175">
        <v>-1.8679093438278782E-2</v>
      </c>
      <c r="K65" s="174">
        <v>5.0319857010869606E-2</v>
      </c>
    </row>
    <row r="66" spans="1:11" ht="16">
      <c r="A66" s="136">
        <v>1993</v>
      </c>
      <c r="B66" s="143">
        <v>9.96705147919488E-2</v>
      </c>
      <c r="C66" s="143">
        <v>2.9971199999999996E-2</v>
      </c>
      <c r="D66" s="143">
        <v>0.14210957589263107</v>
      </c>
      <c r="E66" s="170">
        <v>44483.33039239249</v>
      </c>
      <c r="F66" s="135">
        <v>276318.93805194169</v>
      </c>
      <c r="G66" s="135">
        <v>1139.7435850990746</v>
      </c>
      <c r="H66" s="135">
        <v>2181.7670703142176</v>
      </c>
      <c r="I66" s="174">
        <v>6.9699314791948797E-2</v>
      </c>
      <c r="J66" s="175">
        <v>-4.2439061100682268E-2</v>
      </c>
      <c r="K66" s="174">
        <v>4.8975937931758473E-2</v>
      </c>
    </row>
    <row r="67" spans="1:11" ht="16">
      <c r="A67" s="136">
        <v>1994</v>
      </c>
      <c r="B67" s="143">
        <v>1.3259206774573897E-2</v>
      </c>
      <c r="C67" s="143">
        <v>4.2522489959839357E-2</v>
      </c>
      <c r="D67" s="143">
        <v>-8.0366555509985921E-2</v>
      </c>
      <c r="E67" s="170">
        <v>45073.144068086905</v>
      </c>
      <c r="F67" s="135">
        <v>262475.35925553943</v>
      </c>
      <c r="G67" s="135">
        <v>1188.2083202532413</v>
      </c>
      <c r="H67" s="135">
        <v>2006.4259659479505</v>
      </c>
      <c r="I67" s="174">
        <v>-2.926328318526546E-2</v>
      </c>
      <c r="J67" s="175">
        <v>9.3625762284559821E-2</v>
      </c>
      <c r="K67" s="174">
        <v>4.9718636171719899E-2</v>
      </c>
    </row>
    <row r="68" spans="1:11" ht="16">
      <c r="A68" s="136">
        <v>1995</v>
      </c>
      <c r="B68" s="143">
        <v>0.37195198902606308</v>
      </c>
      <c r="C68" s="143">
        <v>5.4896E-2</v>
      </c>
      <c r="D68" s="143">
        <v>0.23480780112538907</v>
      </c>
      <c r="E68" s="170">
        <v>61838.189655870119</v>
      </c>
      <c r="F68" s="135">
        <v>347176.15768730198</v>
      </c>
      <c r="G68" s="135">
        <v>1253.4362042018633</v>
      </c>
      <c r="H68" s="135">
        <v>2477.5504351330737</v>
      </c>
      <c r="I68" s="174">
        <v>0.31705598902606308</v>
      </c>
      <c r="J68" s="175">
        <v>0.13714418790067401</v>
      </c>
      <c r="K68" s="174">
        <v>5.0791451119413633E-2</v>
      </c>
    </row>
    <row r="69" spans="1:11" ht="16">
      <c r="A69" s="136">
        <v>1996</v>
      </c>
      <c r="B69" s="143">
        <v>0.22680966018865789</v>
      </c>
      <c r="C69" s="143">
        <v>5.005396825396826E-2</v>
      </c>
      <c r="D69" s="143">
        <v>1.428607793401844E-2</v>
      </c>
      <c r="E69" s="170">
        <v>75863.688438399797</v>
      </c>
      <c r="F69" s="135">
        <v>397968.02955695428</v>
      </c>
      <c r="G69" s="135">
        <v>1316.175660175358</v>
      </c>
      <c r="H69" s="135">
        <v>2512.9449137348461</v>
      </c>
      <c r="I69" s="174">
        <v>0.17675569193468962</v>
      </c>
      <c r="J69" s="175">
        <v>0.21252358225463946</v>
      </c>
      <c r="K69" s="174">
        <v>5.304503967737495E-2</v>
      </c>
    </row>
    <row r="70" spans="1:11" ht="16">
      <c r="A70" s="136">
        <v>1997</v>
      </c>
      <c r="B70" s="143">
        <v>0.33103653103653097</v>
      </c>
      <c r="C70" s="143">
        <v>5.0620800000000001E-2</v>
      </c>
      <c r="D70" s="143">
        <v>9.939130272977531E-2</v>
      </c>
      <c r="E70" s="170">
        <v>100977.34069068384</v>
      </c>
      <c r="F70" s="135">
        <v>486197.54170973104</v>
      </c>
      <c r="G70" s="135">
        <v>1382.8015250339627</v>
      </c>
      <c r="H70" s="135">
        <v>2762.7097823991153</v>
      </c>
      <c r="I70" s="174">
        <v>0.28041573103653095</v>
      </c>
      <c r="J70" s="175">
        <v>0.23164522830675566</v>
      </c>
      <c r="K70" s="174">
        <v>5.5315584903303572E-2</v>
      </c>
    </row>
    <row r="71" spans="1:11" ht="16">
      <c r="A71" s="136">
        <v>1998</v>
      </c>
      <c r="B71" s="143">
        <v>0.28337953278443584</v>
      </c>
      <c r="C71" s="143">
        <v>4.7759600000000006E-2</v>
      </c>
      <c r="D71" s="143">
        <v>0.14921431922606215</v>
      </c>
      <c r="E71" s="170">
        <v>129592.25231742462</v>
      </c>
      <c r="F71" s="135">
        <v>420755.35259560123</v>
      </c>
      <c r="G71" s="135">
        <v>1448.8435727489748</v>
      </c>
      <c r="H71" s="135">
        <v>3174.9456417989818</v>
      </c>
      <c r="I71" s="174">
        <v>0.23561993278443583</v>
      </c>
      <c r="J71" s="175">
        <v>0.13416521355837369</v>
      </c>
      <c r="K71" s="174">
        <v>5.6306048135548625E-2</v>
      </c>
    </row>
    <row r="72" spans="1:11" ht="16">
      <c r="A72" s="136">
        <v>1999</v>
      </c>
      <c r="B72" s="143">
        <v>0.20885350992084475</v>
      </c>
      <c r="C72" s="143">
        <v>4.6384063745019917E-2</v>
      </c>
      <c r="D72" s="143">
        <v>-8.2542147962685761E-2</v>
      </c>
      <c r="E72" s="170">
        <v>156658.0490724665</v>
      </c>
      <c r="F72" s="135">
        <v>581652.19942815916</v>
      </c>
      <c r="G72" s="135">
        <v>1516.0468253839256</v>
      </c>
      <c r="H72" s="135">
        <v>2912.8788088601259</v>
      </c>
      <c r="I72" s="174">
        <v>0.16246944617582484</v>
      </c>
      <c r="J72" s="175">
        <v>0.2913956578835305</v>
      </c>
      <c r="K72" s="174">
        <v>5.9634694818320177E-2</v>
      </c>
    </row>
    <row r="73" spans="1:11" ht="16">
      <c r="A73" s="136">
        <v>2000</v>
      </c>
      <c r="B73" s="143">
        <v>-9.0318189552492781E-2</v>
      </c>
      <c r="C73" s="143">
        <v>5.8198007968127491E-2</v>
      </c>
      <c r="D73" s="143">
        <v>0.16655267125397488</v>
      </c>
      <c r="E73" s="170">
        <v>142508.97770141574</v>
      </c>
      <c r="F73" s="135">
        <v>527616.71010128316</v>
      </c>
      <c r="G73" s="135">
        <v>1604.2777306076737</v>
      </c>
      <c r="H73" s="135">
        <v>3398.0265555148762</v>
      </c>
      <c r="I73" s="174">
        <v>-0.14851619752062029</v>
      </c>
      <c r="J73" s="175">
        <v>-0.25687086080646765</v>
      </c>
      <c r="K73" s="174">
        <v>5.5111895842923087E-2</v>
      </c>
    </row>
    <row r="74" spans="1:11" ht="16">
      <c r="A74" s="136">
        <v>2001</v>
      </c>
      <c r="B74" s="143">
        <v>-0.11849759142000185</v>
      </c>
      <c r="C74" s="143">
        <v>3.3993548387096777E-2</v>
      </c>
      <c r="D74" s="143">
        <v>5.5721811892492555E-2</v>
      </c>
      <c r="E74" s="170">
        <v>125622.00708807123</v>
      </c>
      <c r="F74" s="135">
        <v>697192.72072783567</v>
      </c>
      <c r="G74" s="135">
        <v>1658.8128232694276</v>
      </c>
      <c r="H74" s="135">
        <v>3587.3707520469702</v>
      </c>
      <c r="I74" s="174">
        <v>-0.15249113980709864</v>
      </c>
      <c r="J74" s="175">
        <v>-0.17421940331249441</v>
      </c>
      <c r="K74" s="174">
        <v>5.1665345512908356E-2</v>
      </c>
    </row>
    <row r="75" spans="1:11" ht="16">
      <c r="A75" s="136">
        <v>2002</v>
      </c>
      <c r="B75" s="143">
        <v>-0.21966047957912699</v>
      </c>
      <c r="C75" s="143">
        <v>1.60532E-2</v>
      </c>
      <c r="D75" s="143">
        <v>0.15116400378109285</v>
      </c>
      <c r="E75" s="170">
        <v>98027.816765413008</v>
      </c>
      <c r="F75" s="135">
        <v>672233.2213257791</v>
      </c>
      <c r="G75" s="135">
        <v>1685.4420772839362</v>
      </c>
      <c r="H75" s="135">
        <v>4129.6520779735802</v>
      </c>
      <c r="I75" s="174">
        <v>-0.23571367957912698</v>
      </c>
      <c r="J75" s="175">
        <v>-0.37082448336021984</v>
      </c>
      <c r="K75" s="174">
        <v>4.5325449773477855E-2</v>
      </c>
    </row>
    <row r="76" spans="1:11" ht="16">
      <c r="A76" s="136">
        <v>2003</v>
      </c>
      <c r="B76" s="143">
        <v>0.28355800050010233</v>
      </c>
      <c r="C76" s="143">
        <v>1.00836E-2</v>
      </c>
      <c r="D76" s="143">
        <v>3.7531858817758529E-3</v>
      </c>
      <c r="E76" s="170">
        <v>125824.38848080393</v>
      </c>
      <c r="F76" s="135">
        <v>1290082.7750463025</v>
      </c>
      <c r="G76" s="135">
        <v>1702.4374010144365</v>
      </c>
      <c r="H76" s="135">
        <v>4145.1514298492766</v>
      </c>
      <c r="I76" s="174">
        <v>0.2734744005001023</v>
      </c>
      <c r="J76" s="175">
        <v>0.27980481461832646</v>
      </c>
      <c r="K76" s="174">
        <v>4.8237796117156506E-2</v>
      </c>
    </row>
    <row r="77" spans="1:11" ht="16">
      <c r="A77" s="136">
        <v>2004</v>
      </c>
      <c r="B77" s="143">
        <v>0.10742775944096193</v>
      </c>
      <c r="C77" s="143">
        <v>1.3746400000000001E-2</v>
      </c>
      <c r="D77" s="143">
        <v>4.490683702274547E-2</v>
      </c>
      <c r="E77" s="170">
        <v>139341.42061832585</v>
      </c>
      <c r="F77" s="135">
        <v>1515718.2524019009</v>
      </c>
      <c r="G77" s="135">
        <v>1725.8397865037414</v>
      </c>
      <c r="H77" s="135">
        <v>4331.2970695441181</v>
      </c>
      <c r="I77" s="174">
        <v>9.3681359440961925E-2</v>
      </c>
      <c r="J77" s="175">
        <v>6.2520922418216468E-2</v>
      </c>
      <c r="K77" s="174">
        <v>4.842299846885445E-2</v>
      </c>
    </row>
    <row r="78" spans="1:11" ht="16">
      <c r="A78" s="136">
        <v>2005</v>
      </c>
      <c r="B78" s="143">
        <v>4.8344775232688535E-2</v>
      </c>
      <c r="C78" s="143">
        <v>3.1491600000000002E-2</v>
      </c>
      <c r="D78" s="143">
        <v>2.8675329597779506E-2</v>
      </c>
      <c r="E78" s="170">
        <v>146077.8502787223</v>
      </c>
      <c r="F78" s="135">
        <v>1575285.9797212954</v>
      </c>
      <c r="G78" s="135">
        <v>1780.1892427244027</v>
      </c>
      <c r="H78" s="135">
        <v>4455.4984405991927</v>
      </c>
      <c r="I78" s="174">
        <v>1.6853175232688533E-2</v>
      </c>
      <c r="J78" s="175">
        <v>1.9669445634909029E-2</v>
      </c>
      <c r="K78" s="174">
        <v>4.8042189402255131E-2</v>
      </c>
    </row>
    <row r="79" spans="1:11" ht="16">
      <c r="A79" s="136">
        <v>2006</v>
      </c>
      <c r="B79" s="143">
        <v>0.15612557979315703</v>
      </c>
      <c r="C79" s="143">
        <v>4.7300000000000002E-2</v>
      </c>
      <c r="D79" s="143">
        <v>1.9610012417568386E-2</v>
      </c>
      <c r="E79" s="170">
        <v>168884.33934842583</v>
      </c>
      <c r="F79" s="135">
        <v>1866241.3001758184</v>
      </c>
      <c r="G79" s="135">
        <v>1864.3921939052668</v>
      </c>
      <c r="H79" s="135">
        <v>4542.8708203458</v>
      </c>
      <c r="I79" s="174">
        <v>0.10882557979315702</v>
      </c>
      <c r="J79" s="175">
        <v>0.13651556737558865</v>
      </c>
      <c r="K79" s="174">
        <v>4.9149036004805913E-2</v>
      </c>
    </row>
    <row r="80" spans="1:11" ht="16">
      <c r="A80" s="136">
        <v>2007</v>
      </c>
      <c r="B80" s="143">
        <v>5.4847352464217694E-2</v>
      </c>
      <c r="C80" s="143">
        <v>4.3619521912350592E-2</v>
      </c>
      <c r="D80" s="143">
        <v>0.10209921930012807</v>
      </c>
      <c r="E80" s="170">
        <v>178147.19823435548</v>
      </c>
      <c r="F80" s="135">
        <v>1695480.221209731</v>
      </c>
      <c r="G80" s="135">
        <v>1945.7160900605329</v>
      </c>
      <c r="H80" s="135">
        <v>5006.6943844844382</v>
      </c>
      <c r="I80" s="174">
        <v>1.1227830551867102E-2</v>
      </c>
      <c r="J80" s="175">
        <v>-4.7251866835910372E-2</v>
      </c>
      <c r="K80" s="174">
        <v>4.7948712238125024E-2</v>
      </c>
    </row>
    <row r="81" spans="1:12" ht="16">
      <c r="A81" s="136">
        <v>2008</v>
      </c>
      <c r="B81" s="143">
        <v>-0.36552344111798191</v>
      </c>
      <c r="C81" s="143">
        <v>1.3713147410358567E-2</v>
      </c>
      <c r="D81" s="143">
        <v>0.20101279926977011</v>
      </c>
      <c r="E81" s="170">
        <v>113030.22131020659</v>
      </c>
      <c r="F81" s="135">
        <v>935226.89001928759</v>
      </c>
      <c r="G81" s="135">
        <v>1972.3979816222397</v>
      </c>
      <c r="H81" s="135">
        <v>6013.1040377978934</v>
      </c>
      <c r="I81" s="174">
        <v>-0.37923658852834047</v>
      </c>
      <c r="J81" s="175">
        <v>-0.56653624038775208</v>
      </c>
      <c r="K81" s="174">
        <v>3.8795868868689798E-2</v>
      </c>
    </row>
    <row r="82" spans="1:12" ht="16">
      <c r="A82" s="136">
        <v>2009</v>
      </c>
      <c r="B82" s="143">
        <v>0.25935233877663982</v>
      </c>
      <c r="C82" s="143">
        <v>1.5051999999999999E-3</v>
      </c>
      <c r="D82" s="143">
        <v>-0.11116695313259162</v>
      </c>
      <c r="E82" s="170">
        <v>142344.87355944986</v>
      </c>
      <c r="F82" s="135">
        <v>1379272.6174004453</v>
      </c>
      <c r="G82" s="135">
        <v>1975.3668350641774</v>
      </c>
      <c r="H82" s="135">
        <v>5344.6455830466175</v>
      </c>
      <c r="I82" s="174">
        <v>0.25784713877663984</v>
      </c>
      <c r="J82" s="175">
        <v>0.37051929190923144</v>
      </c>
      <c r="K82" s="174">
        <v>4.2868506133348472E-2</v>
      </c>
    </row>
    <row r="83" spans="1:12" ht="16">
      <c r="A83" s="136">
        <v>2010</v>
      </c>
      <c r="B83" s="143">
        <v>0.14821092278719414</v>
      </c>
      <c r="C83" s="143">
        <v>1.3844621513944221E-3</v>
      </c>
      <c r="D83" s="143">
        <v>8.4629338803557719E-2</v>
      </c>
      <c r="E83" s="170">
        <v>163441.93862372241</v>
      </c>
      <c r="F83" s="135">
        <v>1768779.204554331</v>
      </c>
      <c r="G83" s="135">
        <v>1978.1016556824434</v>
      </c>
      <c r="H83" s="135">
        <v>5796.9594048792078</v>
      </c>
      <c r="I83" s="174">
        <v>0.14682646063579971</v>
      </c>
      <c r="J83" s="175">
        <v>6.3581583983636419E-2</v>
      </c>
      <c r="K83" s="174">
        <v>4.3108516433475463E-2</v>
      </c>
    </row>
    <row r="84" spans="1:12" ht="16">
      <c r="A84" s="136">
        <v>2011</v>
      </c>
      <c r="B84" s="143">
        <v>2.09837473362805E-2</v>
      </c>
      <c r="C84" s="143">
        <v>5.2839999999999994E-4</v>
      </c>
      <c r="D84" s="143">
        <v>0.16035334999461354</v>
      </c>
      <c r="E84" s="170">
        <v>166871.56296795449</v>
      </c>
      <c r="F84" s="135">
        <v>1518496.9471098932</v>
      </c>
      <c r="G84" s="135">
        <v>1979.1468845973061</v>
      </c>
      <c r="H84" s="135">
        <v>6726.5212652343698</v>
      </c>
      <c r="I84" s="174">
        <v>2.0455347336280502E-2</v>
      </c>
      <c r="J84" s="175">
        <v>-0.13936960265833304</v>
      </c>
      <c r="K84" s="174">
        <v>4.0970429004248521E-2</v>
      </c>
    </row>
    <row r="85" spans="1:12" ht="16">
      <c r="A85" s="136">
        <v>2012</v>
      </c>
      <c r="B85" s="143">
        <v>0.15890585241730293</v>
      </c>
      <c r="C85" s="143">
        <v>8.7599999999999993E-4</v>
      </c>
      <c r="D85" s="143">
        <v>2.971571978018946E-2</v>
      </c>
      <c r="E85" s="170">
        <v>193388.43092558492</v>
      </c>
      <c r="F85" s="135">
        <v>1802911.4253035763</v>
      </c>
      <c r="G85" s="135">
        <v>1980.8806172682134</v>
      </c>
      <c r="H85" s="135">
        <v>6926.4046862475598</v>
      </c>
      <c r="I85" s="174">
        <v>0.15802985241730294</v>
      </c>
      <c r="J85" s="175">
        <v>0.12919013263711346</v>
      </c>
      <c r="K85" s="174">
        <v>4.1988275684727405E-2</v>
      </c>
    </row>
    <row r="86" spans="1:12" ht="16">
      <c r="A86" s="136">
        <v>2013</v>
      </c>
      <c r="B86" s="143">
        <v>0.32145085858125483</v>
      </c>
      <c r="C86" s="143">
        <v>5.708E-4</v>
      </c>
      <c r="D86" s="143">
        <v>-9.104568794347262E-2</v>
      </c>
      <c r="E86" s="170">
        <v>255553.30808629587</v>
      </c>
      <c r="F86" s="135">
        <v>2716626.935647429</v>
      </c>
      <c r="G86" s="135">
        <v>1982.01130392455</v>
      </c>
      <c r="H86" s="135">
        <v>6295.7854066132577</v>
      </c>
      <c r="I86" s="174">
        <v>0.32088005858125485</v>
      </c>
      <c r="J86" s="175">
        <v>0.41249654652472745</v>
      </c>
      <c r="K86" s="174">
        <v>4.6176809418723153E-2</v>
      </c>
    </row>
    <row r="87" spans="1:12" ht="16">
      <c r="A87" s="136">
        <v>2014</v>
      </c>
      <c r="B87" s="143">
        <v>0.13524421649462237</v>
      </c>
      <c r="C87" s="143">
        <v>3.2719999999999998E-4</v>
      </c>
      <c r="D87" s="143">
        <v>0.10746180452004755</v>
      </c>
      <c r="E87" s="170">
        <v>290115.4150110358</v>
      </c>
      <c r="F87" s="135">
        <v>2759821.3039242229</v>
      </c>
      <c r="G87" s="135">
        <v>1982.6598180231942</v>
      </c>
      <c r="H87" s="135">
        <v>6972.3418672788994</v>
      </c>
      <c r="I87" s="174">
        <v>0.13491701649462237</v>
      </c>
      <c r="J87" s="175">
        <v>2.7782411974574817E-2</v>
      </c>
      <c r="K87" s="174">
        <v>4.5975029375833421E-2</v>
      </c>
    </row>
    <row r="88" spans="1:12" ht="16">
      <c r="A88" s="137">
        <v>2015</v>
      </c>
      <c r="B88" s="143">
        <v>1.3788916411676138E-2</v>
      </c>
      <c r="C88" s="143">
        <v>5.2031872509960154E-4</v>
      </c>
      <c r="D88" s="143">
        <v>1.2842996709792224E-2</v>
      </c>
      <c r="E88" s="170">
        <v>294115.79221836175</v>
      </c>
      <c r="F88" s="135">
        <v>2505641.7618328016</v>
      </c>
      <c r="G88" s="135">
        <v>1983.6914330520142</v>
      </c>
      <c r="H88" s="135">
        <v>7061.8876309399093</v>
      </c>
      <c r="I88" s="174">
        <v>1.3268597686576535E-2</v>
      </c>
      <c r="J88" s="175">
        <v>9.4591970188391376E-4</v>
      </c>
      <c r="K88" s="174">
        <v>4.5434457313765497E-2</v>
      </c>
    </row>
    <row r="89" spans="1:12" ht="16">
      <c r="A89" s="177">
        <v>2016</v>
      </c>
      <c r="B89" s="143">
        <v>0.11773080874798171</v>
      </c>
      <c r="C89" s="143">
        <v>3.1612000000000003E-3</v>
      </c>
      <c r="D89" s="143">
        <v>6.9055046987477921E-3</v>
      </c>
      <c r="E89" s="170">
        <v>328742.28230178286</v>
      </c>
      <c r="F89" s="135">
        <v>2944129.0701535419</v>
      </c>
      <c r="G89" s="135">
        <v>1989.9622784101784</v>
      </c>
      <c r="H89" s="135">
        <v>7110.6535291573937</v>
      </c>
      <c r="I89" s="174">
        <v>0.11456960874798171</v>
      </c>
      <c r="J89" s="175">
        <v>0.11082530404923392</v>
      </c>
      <c r="K89" s="174">
        <v>4.6176501247687796E-2</v>
      </c>
    </row>
    <row r="90" spans="1:12" ht="16">
      <c r="A90" s="177">
        <v>2017</v>
      </c>
      <c r="B90" s="143">
        <v>0.2160548143449928</v>
      </c>
      <c r="C90" s="143">
        <v>9.3411999999999992E-3</v>
      </c>
      <c r="D90" s="143">
        <v>2.8017162707789457E-2</v>
      </c>
      <c r="E90" s="170">
        <v>399768.63507184375</v>
      </c>
      <c r="F90" s="135">
        <v>3399585.8373062951</v>
      </c>
      <c r="G90" s="135">
        <v>2008.5509140452634</v>
      </c>
      <c r="H90" s="135">
        <v>7309.8738660425133</v>
      </c>
      <c r="I90" s="174">
        <v>0.2067136143449928</v>
      </c>
      <c r="J90" s="175">
        <v>0.18803765163720335</v>
      </c>
      <c r="K90" s="174">
        <v>4.7686840373502015E-2</v>
      </c>
    </row>
    <row r="91" spans="1:12" ht="16">
      <c r="A91" s="177">
        <v>2018</v>
      </c>
      <c r="B91" s="143">
        <v>-4.2268692890885438E-2</v>
      </c>
      <c r="C91" s="143">
        <v>1.936305220883534E-2</v>
      </c>
      <c r="D91" s="143">
        <v>-1.6692385713402633E-4</v>
      </c>
      <c r="E91" s="170">
        <v>382870.93740858353</v>
      </c>
      <c r="F91" s="135">
        <v>2846813.180160291</v>
      </c>
      <c r="G91" s="135">
        <v>2047.4425902580256</v>
      </c>
      <c r="H91" s="135">
        <v>7308.6536737016304</v>
      </c>
      <c r="I91" s="174">
        <v>-6.1631745099720775E-2</v>
      </c>
      <c r="J91" s="175">
        <v>-4.2101769033751416E-2</v>
      </c>
      <c r="K91" s="174">
        <v>4.6608669094632571E-2</v>
      </c>
    </row>
    <row r="92" spans="1:12" ht="16">
      <c r="A92" s="136">
        <v>2019</v>
      </c>
      <c r="B92" s="143">
        <v>0.31211679996808755</v>
      </c>
      <c r="C92" s="143">
        <v>2.0624799999999999E-2</v>
      </c>
      <c r="D92" s="143">
        <v>9.6356307415483927E-2</v>
      </c>
      <c r="E92" s="170">
        <v>502371.38919333258</v>
      </c>
      <c r="F92" s="135">
        <v>3196117.1573659587</v>
      </c>
      <c r="G92" s="135">
        <v>2089.6706841935793</v>
      </c>
      <c r="H92" s="135">
        <v>8012.8885538781296</v>
      </c>
      <c r="I92" s="174">
        <v>0.29149199996808756</v>
      </c>
      <c r="J92" s="175">
        <v>0.21576049255260363</v>
      </c>
      <c r="K92" s="174">
        <v>4.8253684406804442E-2</v>
      </c>
    </row>
    <row r="93" spans="1:12" ht="16">
      <c r="A93" s="177">
        <v>2020</v>
      </c>
      <c r="B93" s="143">
        <v>0.18023201827422478</v>
      </c>
      <c r="C93" s="143">
        <v>3.547410358565737E-3</v>
      </c>
      <c r="D93" s="143">
        <v>0.1133189764661412</v>
      </c>
      <c r="E93" s="170">
        <v>592914.79859087302</v>
      </c>
      <c r="F93" s="135">
        <v>4306128.6461191559</v>
      </c>
      <c r="G93" s="135">
        <v>2097.0836036246787</v>
      </c>
      <c r="H93" s="135">
        <v>8920.9008833408589</v>
      </c>
      <c r="I93" s="174">
        <v>0.17668460791565904</v>
      </c>
      <c r="J93" s="175">
        <v>6.6913041808083579E-2</v>
      </c>
      <c r="K93" s="174">
        <v>4.8442663414424603E-2</v>
      </c>
      <c r="L93" s="117"/>
    </row>
    <row r="94" spans="1:12" ht="16">
      <c r="A94" s="177">
        <v>2021</v>
      </c>
      <c r="B94" s="143">
        <v>0.28468851751964158</v>
      </c>
      <c r="C94" s="143">
        <v>4.5019920318725102E-4</v>
      </c>
      <c r="D94" s="143">
        <v>-4.416034448604475E-2</v>
      </c>
      <c r="E94" s="170">
        <v>761710.83361716557</v>
      </c>
      <c r="F94" s="135">
        <v>5240127.9494624017</v>
      </c>
      <c r="G94" s="135">
        <v>2098.0277089920478</v>
      </c>
      <c r="H94" s="135">
        <v>8526.9508272066651</v>
      </c>
      <c r="I94" s="174">
        <v>0.28423831831645435</v>
      </c>
      <c r="J94" s="175">
        <v>0.3288488620056863</v>
      </c>
      <c r="K94" s="174">
        <v>5.1322006296357525E-2</v>
      </c>
    </row>
    <row r="95" spans="1:12" ht="16">
      <c r="A95" s="177">
        <v>2022</v>
      </c>
      <c r="B95" s="143">
        <v>-0.18037505927178585</v>
      </c>
      <c r="C95" s="143">
        <v>2.0247791164658632E-2</v>
      </c>
      <c r="D95" s="143">
        <v>-0.1782817153825067</v>
      </c>
      <c r="E95" s="170">
        <v>624317.19685550791</v>
      </c>
      <c r="F95" s="135">
        <v>4014986.0348780924</v>
      </c>
      <c r="G95" s="135">
        <v>2140.5081359013857</v>
      </c>
      <c r="H95" s="135">
        <v>7006.751406749976</v>
      </c>
      <c r="I95" s="174">
        <v>-0.20062285043644448</v>
      </c>
      <c r="J95" s="175">
        <v>-2.0933438892791478E-3</v>
      </c>
      <c r="K95" s="174">
        <v>5.0609420169760888E-2</v>
      </c>
    </row>
    <row r="96" spans="1:12" ht="16">
      <c r="A96" s="177">
        <v>2023</v>
      </c>
      <c r="B96" s="143">
        <v>0.26060684985024096</v>
      </c>
      <c r="C96" s="143">
        <v>5.0703614457831322E-2</v>
      </c>
      <c r="D96" s="143">
        <v>3.8800000000000001E-2</v>
      </c>
      <c r="E96" s="170">
        <v>787018.53483535454</v>
      </c>
      <c r="F96" s="135">
        <v>4222560.81288129</v>
      </c>
      <c r="G96" s="135">
        <v>2249.0396351679806</v>
      </c>
      <c r="H96" s="135">
        <v>7278.6133613318743</v>
      </c>
      <c r="I96" s="174">
        <v>0.20990323539240963</v>
      </c>
      <c r="J96" s="175">
        <v>0.22180684985024096</v>
      </c>
      <c r="K96" s="174">
        <v>5.2277478113130105E-2</v>
      </c>
    </row>
    <row r="97" spans="1:11" ht="16">
      <c r="A97" s="138">
        <v>2024</v>
      </c>
      <c r="B97" s="143">
        <v>0.24878611262526726</v>
      </c>
      <c r="C97" s="143">
        <v>4.9699999999999994E-2</v>
      </c>
      <c r="D97" s="143">
        <v>-1.6371801436629807E-2</v>
      </c>
      <c r="E97" s="170">
        <v>982817.81668107596</v>
      </c>
      <c r="F97" s="135">
        <v>4744891.585434705</v>
      </c>
      <c r="G97" s="135">
        <v>2360.8169050358292</v>
      </c>
      <c r="H97" s="135">
        <v>7159.4493486461479</v>
      </c>
      <c r="I97" s="178">
        <v>0.19908611262526726</v>
      </c>
      <c r="J97" s="179">
        <v>0.26515791406189704</v>
      </c>
      <c r="K97" s="174">
        <v>5.4394706565341622E-2</v>
      </c>
    </row>
  </sheetData>
  <printOptions gridLines="1" gridLinesSet="0"/>
  <pageMargins left="0.75" right="0.75" top="1" bottom="1" header="0.5" footer="0.5"/>
  <pageSetup orientation="portrait" horizontalDpi="4294967292" verticalDpi="4294967292"/>
  <headerFooter alignWithMargins="0">
    <oddHeader>&amp;A</oddHeader>
    <oddFooter>Page &amp;P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
  <sheetViews>
    <sheetView workbookViewId="0">
      <selection activeCell="C20" sqref="C20"/>
    </sheetView>
  </sheetViews>
  <sheetFormatPr baseColWidth="10" defaultRowHeight="14"/>
  <cols>
    <col min="2" max="2" width="27.42578125" customWidth="1"/>
  </cols>
  <sheetData>
    <row r="1" spans="1:3">
      <c r="A1" t="s">
        <v>72</v>
      </c>
      <c r="B1" t="s">
        <v>113</v>
      </c>
    </row>
    <row r="2" spans="1:3">
      <c r="A2" s="41" t="s">
        <v>70</v>
      </c>
      <c r="B2" s="41" t="s">
        <v>109</v>
      </c>
      <c r="C2" s="41"/>
    </row>
    <row r="3" spans="1:3">
      <c r="A3" s="41" t="s">
        <v>71</v>
      </c>
      <c r="B3" s="41" t="s">
        <v>110</v>
      </c>
      <c r="C3" s="41"/>
    </row>
    <row r="4" spans="1:3">
      <c r="A4" s="41"/>
      <c r="B4" s="41" t="s">
        <v>111</v>
      </c>
      <c r="C4" s="41"/>
    </row>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S&amp;P 500 Valuation</vt:lpstr>
      <vt:lpstr>Earnings and Growth</vt:lpstr>
      <vt:lpstr>Buyback &amp; Dividend computation</vt:lpstr>
      <vt:lpstr>Implied ERP- Annual since 1960</vt:lpstr>
      <vt:lpstr>Historical ERP</vt:lpstr>
      <vt:lpstr>Input Choices</vt:lpstr>
      <vt:lpstr>Sheet11</vt:lpstr>
      <vt:lpstr>Sheet12</vt:lpstr>
      <vt:lpstr>Sheet13</vt:lpstr>
      <vt:lpstr>Sheet14</vt:lpstr>
      <vt:lpstr>Sheet15</vt:lpstr>
      <vt:lpstr>Sheet16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Microsoft Office User</cp:lastModifiedBy>
  <cp:lastPrinted>2011-09-21T14:04:20Z</cp:lastPrinted>
  <dcterms:created xsi:type="dcterms:W3CDTF">2005-01-04T16:33:33Z</dcterms:created>
  <dcterms:modified xsi:type="dcterms:W3CDTF">2025-01-28T17:08:01Z</dcterms:modified>
</cp:coreProperties>
</file>