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tables/table1.xml" ContentType="application/vnd.openxmlformats-officedocument.spreadsheetml.table+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4"/>
  <workbookPr date1904="1" codeName="ThisWorkbook"/>
  <mc:AlternateContent xmlns:mc="http://schemas.openxmlformats.org/markup-compatibility/2006">
    <mc:Choice Requires="x15">
      <x15ac:absPath xmlns:x15ac="http://schemas.microsoft.com/office/spreadsheetml/2010/11/ac" url="/Users/Shared/Previously Relocated Items/Security/All My Stuff/Home Page 2002/pc/"/>
    </mc:Choice>
  </mc:AlternateContent>
  <xr:revisionPtr revIDLastSave="0" documentId="13_ncr:1_{237CA225-3293-F147-BBD6-1DC2F4638EDC}" xr6:coauthVersionLast="47" xr6:coauthVersionMax="47" xr10:uidLastSave="{00000000-0000-0000-0000-000000000000}"/>
  <bookViews>
    <workbookView xWindow="0" yWindow="660" windowWidth="30240" windowHeight="18980" tabRatio="772" xr2:uid="{00000000-000D-0000-FFFF-FFFF00000000}"/>
  </bookViews>
  <sheets>
    <sheet name="Input sheet" sheetId="11" r:id="rId1"/>
    <sheet name="Valuation output" sheetId="13" r:id="rId2"/>
    <sheet name="Stories to Numbers" sheetId="28" r:id="rId3"/>
    <sheet name="Valuation as picture" sheetId="32" r:id="rId4"/>
    <sheet name="Diagnostics" sheetId="12" r:id="rId5"/>
    <sheet name="Option value" sheetId="14" r:id="rId6"/>
    <sheet name="Synthetic rating" sheetId="20" r:id="rId7"/>
    <sheet name="R&amp; D converter" sheetId="25" r:id="rId8"/>
    <sheet name="Operating lease converter" sheetId="18" r:id="rId9"/>
    <sheet name="Cost of capital worksheet" sheetId="19" r:id="rId10"/>
    <sheet name="Failure Rate worksheet" sheetId="30" r:id="rId11"/>
    <sheet name="Country equity risk premiums" sheetId="23" r:id="rId12"/>
    <sheet name="Industry Averages(US)" sheetId="8" r:id="rId13"/>
    <sheet name="Industry Averages (Global)" sheetId="26" r:id="rId14"/>
    <sheet name="Input Stat Distributioons" sheetId="31" r:id="rId15"/>
    <sheet name="Trailing 12 month Worskheet" sheetId="24" r:id="rId16"/>
    <sheet name="Answer keys" sheetId="21" r:id="rId17"/>
  </sheet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1" i="23" l="1"/>
  <c r="I21" i="19"/>
  <c r="E228" i="23"/>
  <c r="B228" i="23"/>
  <c r="B224" i="23"/>
  <c r="B223" i="23"/>
  <c r="B222" i="23"/>
  <c r="B221" i="23"/>
  <c r="B220" i="23"/>
  <c r="B219" i="23"/>
  <c r="B218" i="23"/>
  <c r="B217" i="23"/>
  <c r="B216" i="23"/>
  <c r="B215" i="23"/>
  <c r="B214" i="23"/>
  <c r="E224" i="23"/>
  <c r="E223" i="23"/>
  <c r="E222" i="23"/>
  <c r="E221" i="23"/>
  <c r="E220" i="23"/>
  <c r="E219" i="23"/>
  <c r="E218" i="23"/>
  <c r="E217" i="23"/>
  <c r="E216" i="23"/>
  <c r="E215" i="23"/>
  <c r="E214" i="23"/>
  <c r="D196" i="23"/>
  <c r="D195" i="23"/>
  <c r="D194" i="23"/>
  <c r="D193" i="23"/>
  <c r="D192" i="23"/>
  <c r="D191" i="23"/>
  <c r="D190" i="23"/>
  <c r="D189" i="23"/>
  <c r="D188" i="23"/>
  <c r="D187" i="23"/>
  <c r="D186" i="23"/>
  <c r="D185" i="23"/>
  <c r="D184" i="23"/>
  <c r="D183" i="23"/>
  <c r="D182" i="23"/>
  <c r="D181" i="23"/>
  <c r="D180" i="23"/>
  <c r="D179" i="23"/>
  <c r="D178" i="23"/>
  <c r="D177" i="23"/>
  <c r="D176" i="23"/>
  <c r="D175" i="23"/>
  <c r="D174" i="23"/>
  <c r="D173" i="23"/>
  <c r="D172" i="23"/>
  <c r="D171" i="23"/>
  <c r="D170" i="23"/>
  <c r="D169" i="23"/>
  <c r="D168" i="23"/>
  <c r="D167" i="23"/>
  <c r="D166" i="23"/>
  <c r="D165" i="23"/>
  <c r="D164" i="23"/>
  <c r="D163" i="23"/>
  <c r="D162" i="23"/>
  <c r="D161" i="23"/>
  <c r="D160" i="23"/>
  <c r="D159" i="23"/>
  <c r="D158" i="23"/>
  <c r="D157" i="23"/>
  <c r="D156" i="23"/>
  <c r="D155" i="23"/>
  <c r="D154" i="23"/>
  <c r="D153" i="23"/>
  <c r="D152" i="23"/>
  <c r="D151" i="23"/>
  <c r="D150" i="23"/>
  <c r="D149" i="23"/>
  <c r="D148" i="23"/>
  <c r="D147" i="23"/>
  <c r="D146" i="23"/>
  <c r="D145" i="23"/>
  <c r="D144" i="23"/>
  <c r="D143" i="23"/>
  <c r="D142" i="23"/>
  <c r="D141" i="23"/>
  <c r="D140" i="23"/>
  <c r="D139" i="23"/>
  <c r="D138" i="23"/>
  <c r="D137" i="23"/>
  <c r="D136" i="23"/>
  <c r="D135" i="23"/>
  <c r="D134" i="23"/>
  <c r="D133" i="23"/>
  <c r="D132" i="23"/>
  <c r="D131" i="23"/>
  <c r="D130" i="23"/>
  <c r="D129" i="23"/>
  <c r="D128" i="23"/>
  <c r="D127" i="23"/>
  <c r="D126" i="23"/>
  <c r="D125" i="23"/>
  <c r="D124" i="23"/>
  <c r="D123" i="23"/>
  <c r="D122" i="23"/>
  <c r="D121" i="23"/>
  <c r="D120" i="23"/>
  <c r="D119" i="23"/>
  <c r="D118" i="23"/>
  <c r="D117" i="23"/>
  <c r="D116" i="23"/>
  <c r="D115" i="23"/>
  <c r="D114" i="23"/>
  <c r="D113" i="23"/>
  <c r="D112" i="23"/>
  <c r="D111" i="23"/>
  <c r="D110" i="23"/>
  <c r="D109" i="23"/>
  <c r="D108" i="23"/>
  <c r="D107" i="23"/>
  <c r="D106" i="23"/>
  <c r="D105" i="23"/>
  <c r="D104" i="23"/>
  <c r="D103" i="23"/>
  <c r="D102" i="23"/>
  <c r="D101" i="23"/>
  <c r="D100" i="23"/>
  <c r="D99" i="23"/>
  <c r="D98" i="23"/>
  <c r="D97" i="23"/>
  <c r="D96" i="23"/>
  <c r="D95" i="23"/>
  <c r="D94" i="23"/>
  <c r="D93" i="23"/>
  <c r="D92" i="23"/>
  <c r="D91" i="23"/>
  <c r="D90" i="23"/>
  <c r="D89" i="23"/>
  <c r="D88" i="23"/>
  <c r="D87" i="23"/>
  <c r="D86" i="23"/>
  <c r="D85" i="23"/>
  <c r="D84" i="23"/>
  <c r="D83" i="23"/>
  <c r="D82" i="23"/>
  <c r="D81" i="23"/>
  <c r="D80" i="23"/>
  <c r="D79" i="23"/>
  <c r="D78" i="23"/>
  <c r="D77" i="23"/>
  <c r="D76" i="23"/>
  <c r="D75" i="23"/>
  <c r="D74" i="23"/>
  <c r="D73" i="23"/>
  <c r="D72" i="23"/>
  <c r="D71" i="23"/>
  <c r="D70" i="23"/>
  <c r="D69" i="23"/>
  <c r="D68" i="23"/>
  <c r="D67" i="23"/>
  <c r="D66" i="23"/>
  <c r="D65" i="23"/>
  <c r="D64" i="23"/>
  <c r="D63" i="23"/>
  <c r="D62" i="23"/>
  <c r="D61" i="23"/>
  <c r="D60" i="23"/>
  <c r="D59" i="23"/>
  <c r="D58" i="23"/>
  <c r="D57" i="23"/>
  <c r="D56" i="23"/>
  <c r="D55" i="23"/>
  <c r="D54" i="23"/>
  <c r="D53" i="23"/>
  <c r="D52" i="23"/>
  <c r="D51" i="23"/>
  <c r="D50" i="23"/>
  <c r="D49" i="23"/>
  <c r="D48" i="23"/>
  <c r="D47" i="23"/>
  <c r="D46" i="23"/>
  <c r="D45" i="23"/>
  <c r="D44" i="23"/>
  <c r="D43" i="23"/>
  <c r="D42" i="23"/>
  <c r="D41" i="23"/>
  <c r="D40" i="23"/>
  <c r="D39" i="23"/>
  <c r="D38" i="23"/>
  <c r="D37" i="23"/>
  <c r="D36" i="23"/>
  <c r="D35" i="23"/>
  <c r="D34" i="23"/>
  <c r="D33" i="23"/>
  <c r="D32" i="23"/>
  <c r="D31" i="23"/>
  <c r="D30" i="23"/>
  <c r="D29" i="23"/>
  <c r="D28" i="23"/>
  <c r="D27" i="23"/>
  <c r="D26" i="23"/>
  <c r="D25" i="23"/>
  <c r="D24" i="23"/>
  <c r="D23" i="23"/>
  <c r="D22" i="23"/>
  <c r="D21" i="23"/>
  <c r="D20" i="23"/>
  <c r="D19" i="23"/>
  <c r="D18" i="23"/>
  <c r="D17" i="23"/>
  <c r="D16" i="23"/>
  <c r="D15" i="23"/>
  <c r="D14" i="23"/>
  <c r="D13" i="23"/>
  <c r="D12" i="23"/>
  <c r="D11" i="23"/>
  <c r="D10" i="23"/>
  <c r="D9" i="23"/>
  <c r="D8" i="23"/>
  <c r="D7" i="23"/>
  <c r="D6" i="23"/>
  <c r="D5" i="23"/>
  <c r="D15" i="20"/>
  <c r="B202" i="23"/>
  <c r="B210" i="23"/>
  <c r="B72" i="19"/>
  <c r="I5" i="19"/>
  <c r="I6" i="19"/>
  <c r="I15" i="19"/>
  <c r="I14" i="19"/>
  <c r="I13" i="19"/>
  <c r="I12" i="19"/>
  <c r="I11" i="19"/>
  <c r="I10" i="19"/>
  <c r="I9" i="19"/>
  <c r="I8" i="19"/>
  <c r="I7" i="19"/>
  <c r="B28" i="11"/>
  <c r="B209" i="23"/>
  <c r="I29" i="19"/>
  <c r="B208" i="23"/>
  <c r="I28" i="19"/>
  <c r="B207" i="23"/>
  <c r="I27" i="19"/>
  <c r="B206" i="23"/>
  <c r="I26" i="19"/>
  <c r="B205" i="23"/>
  <c r="I25" i="19"/>
  <c r="B204" i="23"/>
  <c r="I24" i="19"/>
  <c r="B203" i="23"/>
  <c r="I23" i="19"/>
  <c r="I22" i="19"/>
  <c r="G33" i="32"/>
  <c r="D33" i="32"/>
  <c r="O3" i="32"/>
  <c r="A3" i="32"/>
  <c r="B17" i="32"/>
  <c r="A26" i="32"/>
  <c r="A27" i="32"/>
  <c r="A25" i="32"/>
  <c r="A24" i="32"/>
  <c r="A23" i="32"/>
  <c r="A22" i="32"/>
  <c r="A21" i="32"/>
  <c r="A20" i="32"/>
  <c r="A19" i="32"/>
  <c r="A17" i="32"/>
  <c r="A18" i="32"/>
  <c r="A16" i="32"/>
  <c r="A15" i="32"/>
  <c r="K6" i="32"/>
  <c r="H6" i="32"/>
  <c r="E6" i="32"/>
  <c r="O15" i="32"/>
  <c r="N15" i="32"/>
  <c r="M15" i="32"/>
  <c r="L15" i="32"/>
  <c r="K15" i="32"/>
  <c r="J15" i="32"/>
  <c r="I15" i="32"/>
  <c r="H15" i="32"/>
  <c r="G15" i="32"/>
  <c r="F15" i="32"/>
  <c r="E15" i="32"/>
  <c r="I28" i="11"/>
  <c r="N31" i="11"/>
  <c r="M31" i="11"/>
  <c r="L31" i="11"/>
  <c r="N27" i="11"/>
  <c r="M27" i="11"/>
  <c r="L27" i="11"/>
  <c r="N26" i="11"/>
  <c r="M26" i="11"/>
  <c r="L26" i="11"/>
  <c r="L25" i="11"/>
  <c r="N25" i="11"/>
  <c r="M25" i="11"/>
  <c r="L19" i="30"/>
  <c r="K19" i="30"/>
  <c r="J19" i="30"/>
  <c r="I19" i="30"/>
  <c r="H19" i="30"/>
  <c r="G19" i="30"/>
  <c r="F19" i="30"/>
  <c r="E19" i="30"/>
  <c r="D19" i="30"/>
  <c r="C19" i="30"/>
  <c r="C20" i="30"/>
  <c r="C21" i="30"/>
  <c r="C22" i="30"/>
  <c r="C23" i="30"/>
  <c r="C24" i="30"/>
  <c r="C25" i="30"/>
  <c r="C26" i="30"/>
  <c r="C27" i="30"/>
  <c r="C28" i="30"/>
  <c r="C29" i="30"/>
  <c r="D20" i="30"/>
  <c r="E20" i="30"/>
  <c r="F20" i="30"/>
  <c r="G20" i="30"/>
  <c r="H20" i="30"/>
  <c r="I20" i="30"/>
  <c r="J20" i="30"/>
  <c r="K20" i="30"/>
  <c r="L20" i="30"/>
  <c r="D21" i="30"/>
  <c r="E21" i="30"/>
  <c r="F21" i="30"/>
  <c r="G21" i="30"/>
  <c r="H21" i="30"/>
  <c r="I21" i="30"/>
  <c r="J21" i="30"/>
  <c r="K21" i="30"/>
  <c r="L21" i="30"/>
  <c r="D22" i="30"/>
  <c r="E22" i="30"/>
  <c r="F22" i="30"/>
  <c r="G22" i="30"/>
  <c r="H22" i="30"/>
  <c r="I22" i="30"/>
  <c r="J22" i="30"/>
  <c r="K22" i="30"/>
  <c r="L22" i="30"/>
  <c r="D23" i="30"/>
  <c r="E23" i="30"/>
  <c r="F23" i="30"/>
  <c r="G23" i="30"/>
  <c r="H23" i="30"/>
  <c r="I23" i="30"/>
  <c r="J23" i="30"/>
  <c r="K23" i="30"/>
  <c r="L23" i="30"/>
  <c r="D24" i="30"/>
  <c r="E24" i="30"/>
  <c r="F24" i="30"/>
  <c r="G24" i="30"/>
  <c r="H24" i="30"/>
  <c r="I24" i="30"/>
  <c r="J24" i="30"/>
  <c r="K24" i="30"/>
  <c r="L24" i="30"/>
  <c r="D25" i="30"/>
  <c r="E25" i="30"/>
  <c r="F25" i="30"/>
  <c r="G25" i="30"/>
  <c r="H25" i="30"/>
  <c r="I25" i="30"/>
  <c r="J25" i="30"/>
  <c r="K25" i="30"/>
  <c r="L25" i="30"/>
  <c r="D26" i="30"/>
  <c r="E26" i="30"/>
  <c r="F26" i="30"/>
  <c r="G26" i="30"/>
  <c r="H26" i="30"/>
  <c r="I26" i="30"/>
  <c r="J26" i="30"/>
  <c r="K26" i="30"/>
  <c r="L26" i="30"/>
  <c r="D27" i="30"/>
  <c r="E27" i="30"/>
  <c r="F27" i="30"/>
  <c r="G27" i="30"/>
  <c r="H27" i="30"/>
  <c r="I27" i="30"/>
  <c r="J27" i="30"/>
  <c r="K27" i="30"/>
  <c r="L27" i="30"/>
  <c r="D28" i="30"/>
  <c r="E28" i="30"/>
  <c r="F28" i="30"/>
  <c r="G28" i="30"/>
  <c r="H28" i="30"/>
  <c r="I28" i="30"/>
  <c r="J28" i="30"/>
  <c r="K28" i="30"/>
  <c r="L28" i="30"/>
  <c r="D29" i="30"/>
  <c r="E29" i="30"/>
  <c r="F29" i="30"/>
  <c r="G29" i="30"/>
  <c r="H29" i="30"/>
  <c r="I29" i="30"/>
  <c r="J29" i="30"/>
  <c r="K29" i="30"/>
  <c r="L29" i="30"/>
  <c r="C9" i="28"/>
  <c r="B3" i="13"/>
  <c r="B9" i="28"/>
  <c r="C2" i="13"/>
  <c r="D3" i="12"/>
  <c r="B62" i="11"/>
  <c r="G1" i="28"/>
  <c r="B24" i="19"/>
  <c r="B37" i="19"/>
  <c r="C54" i="19" s="1"/>
  <c r="C56" i="19" s="1"/>
  <c r="D2" i="13"/>
  <c r="E3" i="12"/>
  <c r="H32" i="19"/>
  <c r="J25" i="19" s="1"/>
  <c r="K25" i="19" s="1"/>
  <c r="J27" i="19"/>
  <c r="K27" i="19" s="1"/>
  <c r="K27" i="11"/>
  <c r="B31" i="11"/>
  <c r="B32" i="11"/>
  <c r="H38" i="13"/>
  <c r="K26" i="11"/>
  <c r="C9" i="32"/>
  <c r="M2" i="13"/>
  <c r="O16" i="32"/>
  <c r="P7" i="32"/>
  <c r="J26" i="11"/>
  <c r="C7" i="20"/>
  <c r="I53" i="19"/>
  <c r="L53" i="19" s="1"/>
  <c r="K53" i="19"/>
  <c r="I54" i="19"/>
  <c r="J54" i="19" s="1"/>
  <c r="K54" i="19"/>
  <c r="I55" i="19"/>
  <c r="J55" i="19"/>
  <c r="K55" i="19"/>
  <c r="I56" i="19"/>
  <c r="J56" i="19" s="1"/>
  <c r="K56" i="19"/>
  <c r="I57" i="19"/>
  <c r="L57" i="19" s="1"/>
  <c r="K57" i="19"/>
  <c r="I58" i="19"/>
  <c r="L58" i="19" s="1"/>
  <c r="K58" i="19"/>
  <c r="I59" i="19"/>
  <c r="J59" i="19"/>
  <c r="K59" i="19"/>
  <c r="I60" i="19"/>
  <c r="L60" i="19" s="1"/>
  <c r="K60" i="19"/>
  <c r="I61" i="19"/>
  <c r="L61" i="19" s="1"/>
  <c r="K61" i="19"/>
  <c r="I62" i="19"/>
  <c r="J62" i="19" s="1"/>
  <c r="K62" i="19"/>
  <c r="I63" i="19"/>
  <c r="J63" i="19"/>
  <c r="K63" i="19"/>
  <c r="H64" i="19"/>
  <c r="I52" i="19"/>
  <c r="L52" i="19" s="1"/>
  <c r="K52" i="19"/>
  <c r="E45" i="24"/>
  <c r="E43" i="24"/>
  <c r="E42" i="24"/>
  <c r="E41" i="24"/>
  <c r="C19" i="24"/>
  <c r="D19" i="24"/>
  <c r="G29" i="19"/>
  <c r="G28" i="19"/>
  <c r="G27" i="19"/>
  <c r="G26" i="19"/>
  <c r="G25" i="19"/>
  <c r="G24" i="19"/>
  <c r="G23" i="19"/>
  <c r="G22" i="19"/>
  <c r="G21" i="19"/>
  <c r="J27" i="11"/>
  <c r="B10" i="13"/>
  <c r="J15" i="19"/>
  <c r="K15" i="19"/>
  <c r="J14" i="19"/>
  <c r="K14" i="19"/>
  <c r="B19" i="24"/>
  <c r="B6" i="13"/>
  <c r="B11" i="28"/>
  <c r="D11" i="28"/>
  <c r="M6" i="13"/>
  <c r="F11" i="28"/>
  <c r="B22" i="13"/>
  <c r="G33" i="28"/>
  <c r="G39" i="28"/>
  <c r="B29" i="32"/>
  <c r="E7" i="24"/>
  <c r="E9" i="24"/>
  <c r="B22" i="18"/>
  <c r="A22" i="18"/>
  <c r="B23" i="18"/>
  <c r="A23" i="18"/>
  <c r="B24" i="18"/>
  <c r="A24" i="18"/>
  <c r="B25" i="18"/>
  <c r="A25" i="18"/>
  <c r="B26" i="18"/>
  <c r="A26" i="18"/>
  <c r="D18" i="18"/>
  <c r="B27" i="18"/>
  <c r="E8" i="24"/>
  <c r="A25" i="25"/>
  <c r="B25" i="25"/>
  <c r="E25" i="25"/>
  <c r="A12" i="25"/>
  <c r="A13" i="25"/>
  <c r="B26" i="25"/>
  <c r="E26" i="25"/>
  <c r="B27" i="25"/>
  <c r="E27" i="25"/>
  <c r="C24" i="25"/>
  <c r="B28" i="25"/>
  <c r="B29" i="25"/>
  <c r="B30" i="25"/>
  <c r="B31" i="25"/>
  <c r="B32" i="25"/>
  <c r="B33" i="25"/>
  <c r="B34" i="25"/>
  <c r="B18" i="19"/>
  <c r="B19" i="19"/>
  <c r="E10" i="24"/>
  <c r="B31" i="19"/>
  <c r="C53" i="19" s="1"/>
  <c r="F9" i="20"/>
  <c r="B30" i="19"/>
  <c r="D60" i="19"/>
  <c r="B38" i="19"/>
  <c r="H18" i="19"/>
  <c r="J5" i="19" s="1"/>
  <c r="J9" i="19"/>
  <c r="K9" i="19" s="1"/>
  <c r="J10" i="19"/>
  <c r="K10" i="19" s="1"/>
  <c r="J11" i="19"/>
  <c r="K11" i="19"/>
  <c r="J12" i="19"/>
  <c r="K12" i="19" s="1"/>
  <c r="J13" i="19"/>
  <c r="K13" i="19"/>
  <c r="J17" i="19"/>
  <c r="K17" i="19" s="1"/>
  <c r="D62" i="19"/>
  <c r="B26" i="13"/>
  <c r="B27" i="13"/>
  <c r="B21" i="32"/>
  <c r="B28" i="13"/>
  <c r="B22" i="32"/>
  <c r="B32" i="13"/>
  <c r="B26" i="32"/>
  <c r="D9" i="28"/>
  <c r="A1" i="28"/>
  <c r="F10" i="20"/>
  <c r="I36" i="19"/>
  <c r="K36" i="19"/>
  <c r="I47" i="19"/>
  <c r="K47" i="19"/>
  <c r="I46" i="19"/>
  <c r="J46" i="19"/>
  <c r="I45" i="19"/>
  <c r="K45" i="19" s="1"/>
  <c r="L45" i="19"/>
  <c r="I44" i="19"/>
  <c r="J44" i="19" s="1"/>
  <c r="L44" i="19"/>
  <c r="I43" i="19"/>
  <c r="L43" i="19" s="1"/>
  <c r="I42" i="19"/>
  <c r="L42" i="19" s="1"/>
  <c r="I41" i="19"/>
  <c r="J41" i="19" s="1"/>
  <c r="I40" i="19"/>
  <c r="K40" i="19"/>
  <c r="I39" i="19"/>
  <c r="L39" i="19" s="1"/>
  <c r="I38" i="19"/>
  <c r="J38" i="19" s="1"/>
  <c r="K38" i="19"/>
  <c r="I37" i="19"/>
  <c r="K37" i="19" s="1"/>
  <c r="K31" i="11"/>
  <c r="K30" i="11"/>
  <c r="J31" i="11"/>
  <c r="B31" i="12"/>
  <c r="J30" i="11"/>
  <c r="K29" i="11"/>
  <c r="K25" i="11"/>
  <c r="C7" i="32"/>
  <c r="J25" i="11"/>
  <c r="B3" i="12"/>
  <c r="H48" i="19"/>
  <c r="J29" i="11"/>
  <c r="A27" i="18"/>
  <c r="B34" i="13"/>
  <c r="B11" i="14"/>
  <c r="D16" i="14"/>
  <c r="B10" i="14"/>
  <c r="D15" i="14"/>
  <c r="B7" i="14"/>
  <c r="D18" i="14"/>
  <c r="B6" i="14"/>
  <c r="B19" i="14"/>
  <c r="B5" i="14"/>
  <c r="B16" i="14"/>
  <c r="B18" i="14"/>
  <c r="B4" i="14"/>
  <c r="B15" i="14"/>
  <c r="B9" i="14"/>
  <c r="D17" i="14"/>
  <c r="D20" i="14"/>
  <c r="D19" i="14"/>
  <c r="I25" i="11"/>
  <c r="C3" i="12"/>
  <c r="C25" i="25"/>
  <c r="B24" i="25"/>
  <c r="D24" i="25"/>
  <c r="B25" i="13"/>
  <c r="B19" i="32" s="1"/>
  <c r="F8" i="20"/>
  <c r="B45" i="19"/>
  <c r="C55" i="19" s="1"/>
  <c r="J58" i="19"/>
  <c r="B23" i="19"/>
  <c r="J40" i="19"/>
  <c r="K41" i="19"/>
  <c r="J8" i="19"/>
  <c r="K8" i="19" s="1"/>
  <c r="J7" i="19"/>
  <c r="A27" i="25"/>
  <c r="A14" i="25"/>
  <c r="A26" i="25"/>
  <c r="C26" i="25"/>
  <c r="D26" i="25"/>
  <c r="A15" i="25"/>
  <c r="A28" i="25"/>
  <c r="C27" i="25"/>
  <c r="A16" i="25"/>
  <c r="A29" i="25"/>
  <c r="E28" i="25"/>
  <c r="C28" i="25"/>
  <c r="D28" i="25"/>
  <c r="A17" i="25"/>
  <c r="A30" i="25"/>
  <c r="E29" i="25"/>
  <c r="C29" i="25"/>
  <c r="D29" i="25"/>
  <c r="A31" i="25"/>
  <c r="A18" i="25"/>
  <c r="E30" i="25"/>
  <c r="C30" i="25"/>
  <c r="D30" i="25"/>
  <c r="A19" i="25"/>
  <c r="A32" i="25"/>
  <c r="E31" i="25"/>
  <c r="C31" i="25"/>
  <c r="D31" i="25"/>
  <c r="E32" i="25"/>
  <c r="C32" i="25"/>
  <c r="D32" i="25"/>
  <c r="A33" i="25"/>
  <c r="A20" i="25"/>
  <c r="A34" i="25"/>
  <c r="C34" i="25"/>
  <c r="D34" i="25"/>
  <c r="E34" i="25"/>
  <c r="C33" i="25"/>
  <c r="D33" i="25"/>
  <c r="E33" i="25"/>
  <c r="B30" i="13"/>
  <c r="D37" i="28"/>
  <c r="B24" i="32"/>
  <c r="K44" i="19"/>
  <c r="L40" i="19"/>
  <c r="C38" i="13"/>
  <c r="E28" i="32"/>
  <c r="C12" i="28"/>
  <c r="D38" i="13"/>
  <c r="E38" i="13"/>
  <c r="G28" i="32"/>
  <c r="E12" i="28"/>
  <c r="D12" i="28"/>
  <c r="K46" i="19"/>
  <c r="J39" i="19"/>
  <c r="L59" i="19"/>
  <c r="L62" i="19"/>
  <c r="J47" i="19"/>
  <c r="D38" i="28"/>
  <c r="D27" i="25"/>
  <c r="L63" i="19"/>
  <c r="J36" i="19"/>
  <c r="L36" i="19"/>
  <c r="L55" i="19"/>
  <c r="L54" i="19"/>
  <c r="K7" i="19"/>
  <c r="J45" i="19"/>
  <c r="L46" i="19"/>
  <c r="L47" i="19"/>
  <c r="L41" i="19"/>
  <c r="J43" i="19"/>
  <c r="F16" i="32"/>
  <c r="E2" i="13"/>
  <c r="F2" i="13"/>
  <c r="H16" i="32"/>
  <c r="C6" i="13"/>
  <c r="D6" i="13"/>
  <c r="E6" i="13"/>
  <c r="F6" i="13"/>
  <c r="G6" i="13"/>
  <c r="H6" i="13"/>
  <c r="I6" i="13"/>
  <c r="J6" i="13"/>
  <c r="K6" i="13"/>
  <c r="L6" i="13"/>
  <c r="D35" i="28"/>
  <c r="D25" i="25"/>
  <c r="D35" i="25"/>
  <c r="B39" i="13"/>
  <c r="I27" i="11" s="1"/>
  <c r="B17" i="12" s="1"/>
  <c r="J21" i="19"/>
  <c r="J26" i="19"/>
  <c r="K26" i="19"/>
  <c r="J23" i="19"/>
  <c r="K23" i="19"/>
  <c r="F28" i="32"/>
  <c r="E16" i="32"/>
  <c r="B60" i="19"/>
  <c r="E35" i="25"/>
  <c r="D37" i="25"/>
  <c r="D39" i="25"/>
  <c r="B5" i="13"/>
  <c r="B7" i="13" s="1"/>
  <c r="B8" i="32"/>
  <c r="B7" i="12"/>
  <c r="C3" i="13"/>
  <c r="J28" i="32"/>
  <c r="I38" i="13"/>
  <c r="B20" i="32"/>
  <c r="C17" i="12"/>
  <c r="F9" i="28"/>
  <c r="B7" i="32"/>
  <c r="B33" i="12"/>
  <c r="J37" i="19"/>
  <c r="L37" i="19"/>
  <c r="L38" i="19"/>
  <c r="F38" i="13"/>
  <c r="H28" i="32"/>
  <c r="G38" i="13"/>
  <c r="G16" i="32"/>
  <c r="G2" i="13"/>
  <c r="I16" i="32"/>
  <c r="K21" i="19"/>
  <c r="J2" i="13"/>
  <c r="L16" i="32"/>
  <c r="C7" i="12"/>
  <c r="E17" i="32"/>
  <c r="B17" i="28"/>
  <c r="D3" i="13"/>
  <c r="B18" i="28"/>
  <c r="D40" i="25"/>
  <c r="J38" i="13"/>
  <c r="K28" i="32"/>
  <c r="I28" i="32"/>
  <c r="D17" i="12"/>
  <c r="H2" i="13"/>
  <c r="J16" i="32"/>
  <c r="K2" i="13"/>
  <c r="M16" i="32"/>
  <c r="I2" i="13"/>
  <c r="K16" i="32"/>
  <c r="L2" i="13"/>
  <c r="N16" i="32"/>
  <c r="C8" i="13"/>
  <c r="F17" i="32"/>
  <c r="E3" i="13"/>
  <c r="L28" i="32"/>
  <c r="K38" i="13"/>
  <c r="E21" i="32"/>
  <c r="F17" i="28"/>
  <c r="F3" i="13"/>
  <c r="E8" i="13"/>
  <c r="B19" i="28"/>
  <c r="D8" i="13"/>
  <c r="G17" i="32"/>
  <c r="L38" i="13"/>
  <c r="M28" i="32"/>
  <c r="H17" i="32"/>
  <c r="G3" i="13"/>
  <c r="D7" i="12"/>
  <c r="B20" i="28"/>
  <c r="F21" i="32"/>
  <c r="F18" i="28"/>
  <c r="E17" i="12"/>
  <c r="N28" i="32"/>
  <c r="G21" i="32"/>
  <c r="F19" i="28"/>
  <c r="M12" i="13"/>
  <c r="F14" i="28" s="1"/>
  <c r="H3" i="13"/>
  <c r="B22" i="28"/>
  <c r="F8" i="13"/>
  <c r="B21" i="28"/>
  <c r="I17" i="32"/>
  <c r="G8" i="13"/>
  <c r="J17" i="32"/>
  <c r="I3" i="13"/>
  <c r="H21" i="32"/>
  <c r="F20" i="28"/>
  <c r="F21" i="28"/>
  <c r="I21" i="32"/>
  <c r="J3" i="13"/>
  <c r="H8" i="13"/>
  <c r="K17" i="32"/>
  <c r="B23" i="28"/>
  <c r="J21" i="32"/>
  <c r="F22" i="28"/>
  <c r="L17" i="32"/>
  <c r="K3" i="13"/>
  <c r="B24" i="28"/>
  <c r="I8" i="13"/>
  <c r="K21" i="32"/>
  <c r="F23" i="28"/>
  <c r="B25" i="28"/>
  <c r="L3" i="13"/>
  <c r="J8" i="13"/>
  <c r="M17" i="32"/>
  <c r="L21" i="32"/>
  <c r="F24" i="28"/>
  <c r="K8" i="13"/>
  <c r="B26" i="28"/>
  <c r="M3" i="13"/>
  <c r="E7" i="12"/>
  <c r="N17" i="32"/>
  <c r="L8" i="13"/>
  <c r="B27" i="28"/>
  <c r="J34" i="11"/>
  <c r="O17" i="32"/>
  <c r="F25" i="28"/>
  <c r="M21" i="32"/>
  <c r="F26" i="28"/>
  <c r="N21" i="32"/>
  <c r="C60" i="19" l="1"/>
  <c r="C57" i="19"/>
  <c r="D12" i="20"/>
  <c r="C15" i="18"/>
  <c r="C39" i="13"/>
  <c r="D39" i="13" s="1"/>
  <c r="E39" i="13" s="1"/>
  <c r="F39" i="13" s="1"/>
  <c r="G39" i="13" s="1"/>
  <c r="H39" i="13" s="1"/>
  <c r="I39" i="13" s="1"/>
  <c r="J39" i="13" s="1"/>
  <c r="K39" i="13" s="1"/>
  <c r="L39" i="13" s="1"/>
  <c r="B4" i="13"/>
  <c r="B10" i="32"/>
  <c r="C24" i="18"/>
  <c r="C22" i="18"/>
  <c r="C27" i="18"/>
  <c r="B17" i="13"/>
  <c r="P8" i="32"/>
  <c r="E31" i="12"/>
  <c r="K22" i="19"/>
  <c r="B40" i="13"/>
  <c r="B11" i="32"/>
  <c r="I29" i="11"/>
  <c r="K29" i="19"/>
  <c r="D14" i="20"/>
  <c r="D16" i="20" s="1"/>
  <c r="E60" i="19"/>
  <c r="B61" i="19" s="1"/>
  <c r="K5" i="19"/>
  <c r="C62" i="19"/>
  <c r="J30" i="19"/>
  <c r="K30" i="19" s="1"/>
  <c r="K39" i="19"/>
  <c r="J16" i="19"/>
  <c r="K16" i="19" s="1"/>
  <c r="J61" i="19"/>
  <c r="J57" i="19"/>
  <c r="J53" i="19"/>
  <c r="L56" i="19"/>
  <c r="J52" i="19"/>
  <c r="J60" i="19"/>
  <c r="J6" i="19"/>
  <c r="K6" i="19" s="1"/>
  <c r="J48" i="19"/>
  <c r="K48" i="19" s="1"/>
  <c r="K43" i="19"/>
  <c r="D34" i="28"/>
  <c r="J24" i="19"/>
  <c r="K24" i="19" s="1"/>
  <c r="J22" i="19"/>
  <c r="K42" i="19"/>
  <c r="J28" i="19"/>
  <c r="K28" i="19" s="1"/>
  <c r="D13" i="20"/>
  <c r="J31" i="19"/>
  <c r="K31" i="19" s="1"/>
  <c r="J42" i="19"/>
  <c r="J29" i="19"/>
  <c r="L48" i="19"/>
  <c r="B67" i="19" s="1"/>
  <c r="C61" i="19" l="1"/>
  <c r="C26" i="18"/>
  <c r="C25" i="18"/>
  <c r="C23" i="18"/>
  <c r="B9" i="32"/>
  <c r="B10" i="28"/>
  <c r="B12" i="12"/>
  <c r="I26" i="11"/>
  <c r="B27" i="11" s="1"/>
  <c r="C28" i="18"/>
  <c r="J18" i="19"/>
  <c r="D61" i="19"/>
  <c r="E61" i="19" s="1"/>
  <c r="K18" i="19"/>
  <c r="J64" i="19"/>
  <c r="K64" i="19" s="1"/>
  <c r="B13" i="28"/>
  <c r="B27" i="12"/>
  <c r="K32" i="19"/>
  <c r="B27" i="19" s="1"/>
  <c r="B62" i="19" s="1"/>
  <c r="J32" i="19"/>
  <c r="L64" i="19"/>
  <c r="F34" i="18" l="1"/>
  <c r="F33" i="18"/>
  <c r="F31" i="18"/>
  <c r="F32" i="18" s="1"/>
  <c r="C10" i="28"/>
  <c r="C4" i="13"/>
  <c r="B29" i="11"/>
  <c r="E62" i="19"/>
  <c r="B13" i="19" s="1"/>
  <c r="B35" i="11" s="1"/>
  <c r="C12" i="13" s="1"/>
  <c r="I31" i="11" l="1"/>
  <c r="B46" i="11"/>
  <c r="J4" i="13"/>
  <c r="G4" i="13"/>
  <c r="E4" i="13"/>
  <c r="D4" i="13"/>
  <c r="I4" i="13"/>
  <c r="H4" i="13"/>
  <c r="L4" i="13"/>
  <c r="F4" i="13"/>
  <c r="K4" i="13"/>
  <c r="C5" i="13"/>
  <c r="E18" i="32"/>
  <c r="C17" i="28"/>
  <c r="D17" i="28" s="1"/>
  <c r="C12" i="12"/>
  <c r="D31" i="12"/>
  <c r="E25" i="32"/>
  <c r="C13" i="13"/>
  <c r="D14" i="28"/>
  <c r="D12" i="13"/>
  <c r="C10" i="13" l="1"/>
  <c r="C7" i="13"/>
  <c r="E19" i="32"/>
  <c r="C23" i="28"/>
  <c r="D23" i="28" s="1"/>
  <c r="I5" i="13"/>
  <c r="K19" i="32" s="1"/>
  <c r="K18" i="32"/>
  <c r="E5" i="13"/>
  <c r="G19" i="32" s="1"/>
  <c r="C19" i="28"/>
  <c r="D19" i="28" s="1"/>
  <c r="G18" i="32"/>
  <c r="C20" i="28"/>
  <c r="D20" i="28" s="1"/>
  <c r="F5" i="13"/>
  <c r="H19" i="32" s="1"/>
  <c r="H18" i="32"/>
  <c r="N18" i="32"/>
  <c r="M4" i="13"/>
  <c r="L5" i="13"/>
  <c r="N19" i="32" s="1"/>
  <c r="C26" i="28"/>
  <c r="D26" i="28" s="1"/>
  <c r="H5" i="13"/>
  <c r="J19" i="32" s="1"/>
  <c r="C22" i="28"/>
  <c r="D22" i="28" s="1"/>
  <c r="J18" i="32"/>
  <c r="D5" i="13"/>
  <c r="F18" i="32"/>
  <c r="C18" i="28"/>
  <c r="D18" i="28" s="1"/>
  <c r="C21" i="28"/>
  <c r="D21" i="28" s="1"/>
  <c r="G5" i="13"/>
  <c r="I19" i="32" s="1"/>
  <c r="I18" i="32"/>
  <c r="D12" i="12"/>
  <c r="E10" i="28"/>
  <c r="C25" i="28"/>
  <c r="D25" i="28" s="1"/>
  <c r="M18" i="32"/>
  <c r="K5" i="13"/>
  <c r="M19" i="32" s="1"/>
  <c r="L18" i="32"/>
  <c r="J5" i="13"/>
  <c r="L19" i="32" s="1"/>
  <c r="C24" i="28"/>
  <c r="D24" i="28" s="1"/>
  <c r="F25" i="32"/>
  <c r="E12" i="13"/>
  <c r="E26" i="32"/>
  <c r="D13" i="13"/>
  <c r="F19" i="32" l="1"/>
  <c r="D10" i="13"/>
  <c r="E10" i="13" s="1"/>
  <c r="D7" i="13"/>
  <c r="E7" i="13"/>
  <c r="G20" i="32" s="1"/>
  <c r="M5" i="13"/>
  <c r="E12" i="12"/>
  <c r="O18" i="32"/>
  <c r="C27" i="28"/>
  <c r="D27" i="28" s="1"/>
  <c r="F10" i="28"/>
  <c r="C9" i="13"/>
  <c r="E17" i="28"/>
  <c r="G17" i="28" s="1"/>
  <c r="C40" i="13"/>
  <c r="E29" i="32" s="1"/>
  <c r="E20" i="32"/>
  <c r="F26" i="32"/>
  <c r="E13" i="13"/>
  <c r="F12" i="13"/>
  <c r="G25" i="32"/>
  <c r="E40" i="13"/>
  <c r="G29" i="32" s="1"/>
  <c r="E19" i="28"/>
  <c r="G19" i="28" s="1"/>
  <c r="E9" i="13"/>
  <c r="O19" i="32" l="1"/>
  <c r="J35" i="11"/>
  <c r="N5" i="13"/>
  <c r="M7" i="13"/>
  <c r="C14" i="13"/>
  <c r="E22" i="32"/>
  <c r="D40" i="13"/>
  <c r="F29" i="32" s="1"/>
  <c r="F20" i="32"/>
  <c r="D9" i="13"/>
  <c r="E18" i="28"/>
  <c r="G18" i="28" s="1"/>
  <c r="F10" i="13"/>
  <c r="F7" i="13"/>
  <c r="G22" i="32"/>
  <c r="E14" i="13"/>
  <c r="G12" i="13"/>
  <c r="H25" i="32"/>
  <c r="F13" i="13"/>
  <c r="G26" i="32"/>
  <c r="F9" i="13" l="1"/>
  <c r="H22" i="32" s="1"/>
  <c r="F40" i="13"/>
  <c r="H29" i="32" s="1"/>
  <c r="H20" i="32"/>
  <c r="E20" i="28"/>
  <c r="G20" i="28" s="1"/>
  <c r="G10" i="13"/>
  <c r="G7" i="13"/>
  <c r="E27" i="28"/>
  <c r="O20" i="32"/>
  <c r="F22" i="32"/>
  <c r="D14" i="13"/>
  <c r="H26" i="32"/>
  <c r="F14" i="13"/>
  <c r="G13" i="13"/>
  <c r="H12" i="13"/>
  <c r="I25" i="32"/>
  <c r="G40" i="13" l="1"/>
  <c r="I29" i="32" s="1"/>
  <c r="I20" i="32"/>
  <c r="E21" i="28"/>
  <c r="G21" i="28" s="1"/>
  <c r="G9" i="13"/>
  <c r="I22" i="32" s="1"/>
  <c r="H10" i="13"/>
  <c r="H7" i="13"/>
  <c r="I12" i="13"/>
  <c r="J25" i="32"/>
  <c r="H13" i="13"/>
  <c r="I26" i="32"/>
  <c r="G14" i="13"/>
  <c r="J20" i="32" l="1"/>
  <c r="H9" i="13"/>
  <c r="J22" i="32" s="1"/>
  <c r="E22" i="28"/>
  <c r="G22" i="28" s="1"/>
  <c r="H40" i="13"/>
  <c r="J29" i="32" s="1"/>
  <c r="I10" i="13"/>
  <c r="I7" i="13"/>
  <c r="K25" i="32"/>
  <c r="J12" i="13"/>
  <c r="J26" i="32"/>
  <c r="H14" i="13"/>
  <c r="I13" i="13"/>
  <c r="E23" i="28" l="1"/>
  <c r="G23" i="28" s="1"/>
  <c r="I40" i="13"/>
  <c r="K29" i="32" s="1"/>
  <c r="I9" i="13"/>
  <c r="K22" i="32" s="1"/>
  <c r="K20" i="32"/>
  <c r="J7" i="13"/>
  <c r="J10" i="13"/>
  <c r="K26" i="32"/>
  <c r="J13" i="13"/>
  <c r="K12" i="13"/>
  <c r="L25" i="32"/>
  <c r="I14" i="13"/>
  <c r="L20" i="32" l="1"/>
  <c r="J40" i="13"/>
  <c r="L29" i="32" s="1"/>
  <c r="J9" i="13"/>
  <c r="E24" i="28"/>
  <c r="G24" i="28" s="1"/>
  <c r="K7" i="13"/>
  <c r="K10" i="13"/>
  <c r="L12" i="13"/>
  <c r="M25" i="32"/>
  <c r="K13" i="13"/>
  <c r="L26" i="32"/>
  <c r="E25" i="28" l="1"/>
  <c r="G25" i="28" s="1"/>
  <c r="M20" i="32"/>
  <c r="K9" i="13"/>
  <c r="M22" i="32" s="1"/>
  <c r="K40" i="13"/>
  <c r="M29" i="32" s="1"/>
  <c r="L10" i="13"/>
  <c r="M10" i="13" s="1"/>
  <c r="L7" i="13"/>
  <c r="L22" i="32"/>
  <c r="J14" i="13"/>
  <c r="M26" i="32"/>
  <c r="K14" i="13"/>
  <c r="L13" i="13"/>
  <c r="B21" i="12"/>
  <c r="C21" i="12" s="1"/>
  <c r="M40" i="13"/>
  <c r="N25" i="32"/>
  <c r="N20" i="32" l="1"/>
  <c r="L40" i="13"/>
  <c r="L9" i="13"/>
  <c r="C27" i="12"/>
  <c r="D13" i="28" s="1"/>
  <c r="E26" i="28"/>
  <c r="G26" i="28" s="1"/>
  <c r="F12" i="28"/>
  <c r="M8" i="13"/>
  <c r="F13" i="28"/>
  <c r="O29" i="32"/>
  <c r="P9" i="32"/>
  <c r="P10" i="32" s="1"/>
  <c r="E27" i="12"/>
  <c r="N26" i="32"/>
  <c r="C31" i="12"/>
  <c r="N22" i="32" l="1"/>
  <c r="L14" i="13"/>
  <c r="B20" i="13" s="1"/>
  <c r="J36" i="11"/>
  <c r="D27" i="12"/>
  <c r="N29" i="32"/>
  <c r="F27" i="28"/>
  <c r="G27" i="28" s="1"/>
  <c r="N8" i="13"/>
  <c r="O21" i="32"/>
  <c r="M9" i="13"/>
  <c r="B23" i="12" l="1"/>
  <c r="B22" i="12" s="1"/>
  <c r="C22" i="12" s="1"/>
  <c r="C23" i="12" s="1"/>
  <c r="D31" i="28"/>
  <c r="B16" i="32"/>
  <c r="B16" i="13"/>
  <c r="B18" i="13" s="1"/>
  <c r="O22" i="32"/>
  <c r="B19" i="13" l="1"/>
  <c r="D29" i="28"/>
  <c r="N23" i="32"/>
  <c r="B15" i="32" l="1"/>
  <c r="D30" i="28"/>
  <c r="B21" i="13"/>
  <c r="B23" i="13" l="1"/>
  <c r="B24" i="13" s="1"/>
  <c r="D32" i="28"/>
  <c r="D33" i="28" l="1"/>
  <c r="D36" i="28" s="1"/>
  <c r="D39" i="28" s="1"/>
  <c r="B18" i="32"/>
  <c r="B29" i="13"/>
  <c r="B31" i="13" l="1"/>
  <c r="B23" i="32"/>
  <c r="B33" i="13" l="1"/>
  <c r="B25" i="32"/>
  <c r="B35" i="13" l="1"/>
  <c r="B36" i="12"/>
  <c r="B37" i="12" s="1"/>
  <c r="B27" i="32"/>
  <c r="B30" i="32" s="1"/>
  <c r="B17" i="14" l="1"/>
  <c r="B22" i="14"/>
  <c r="B23" i="14"/>
  <c r="B25" i="14"/>
  <c r="B26" i="14"/>
  <c r="B28" i="14"/>
  <c r="B2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tc={71F54301-01F9-6142-81B2-70E7EE6CDDF7}</author>
    <author>tc={54FBC3F9-EB9F-7C41-8C6D-97F512BA685D}</author>
    <author>tc={CA4A0E69-2EC1-064C-82D5-50B182E99825}</author>
    <author>tc={E0152BD4-8763-E340-9F3D-57E83246CD86}</author>
    <author>tc={2D890560-A4D2-9046-BCC4-FEE8DA2A9099}</author>
    <author>tc={09E9FA1F-138A-9547-B116-0278E256325D}</author>
    <author>tc={B4FAFBEA-7EF5-9E49-BDDC-74E67266D7B3}</author>
    <author>tc={2F9D57EC-A335-6C45-8636-50B8E9391785}</author>
    <author>tc={AFFC9966-65E7-7849-A618-5DEF034E694A}</author>
    <author>tc={E540843E-F2A3-134C-8531-DA60E38A7694}</author>
    <author>tc={77A98811-E565-A44B-A04A-39493A90F633}</author>
    <author>tc={1B0C707C-9FE4-EC47-8991-BFB3094AFE63}</author>
    <author>tc={4EBAB3AE-4130-E345-91F6-F196751794B7}</author>
    <author>tc={EEE67F91-B486-C642-BCF8-918B32B4F8EF}</author>
    <author>tc={2A62643D-C33C-9A46-A5F0-E66BADC89EAC}</author>
    <author>tc={AEED2D9E-7933-0546-A108-B06B6DBDF425}</author>
    <author>tc={E2546F12-07E7-8E43-BAF4-4BA7F486E85D}</author>
    <author>tc={7036E80F-6A3B-5240-ADB4-827D900C1913}</author>
    <author>tc={4EF0786B-4C78-E749-BA0E-D37E40A13CCA}</author>
    <author>tc={66B71247-062C-884C-A110-2FA7FC5BB361}</author>
    <author>tc={51B4C672-001E-AC42-885D-01422D0EE688}</author>
    <author>tc={38AE7BD4-BE10-B140-8F0C-6498039783B4}</author>
    <author>tc={218968A8-BC08-A64F-9F0E-C67E68AA4DD8}</author>
    <author>tc={7EC7B7C4-E2EF-5C47-9F07-E86FFDCD3214}</author>
    <author>tc={4B2B4743-2757-3E4B-9959-BA2D9ACB4202}</author>
    <author>tc={751B8FE4-9055-B84E-A3C8-0E4DEADB3EA0}</author>
    <author>tc={5CA1C1D1-F4A5-8446-B5E9-71CD54EF2545}</author>
    <author>tc={3FA629D8-89D5-E143-B22C-AFE6CD0C8514}</author>
    <author>tc={594B4E1B-3ACD-0F43-A4CB-A9BE88E089B5}</author>
    <author>tc={AE13966B-AB4E-B34C-AB49-2D7FEA7E9120}</author>
    <author>tc={FBD5A24E-83BA-4543-B49C-42E85C8B9500}</author>
    <author>tc={48C76159-0827-874B-B96B-C4FD25D34B6A}</author>
    <author>tc={41BD63FD-2E13-334D-AC8A-F4702E32C3C5}</author>
    <author>tc={A59C3A77-9765-B147-B40F-B2F3A4E48AC3}</author>
    <author>tc={DB629F1F-F83F-F647-853F-47BFC31610CD}</author>
    <author>tc={B1F53202-2F0D-D541-9E18-76005E4E45E4}</author>
    <author>tc={3B1FC220-3FE7-E54A-96FA-E03CEFCBFDE2}</author>
    <author>tc={635D9BDD-F56D-3A4B-BB73-B545395723F2}</author>
    <author>tc={F6C404B5-0607-B64F-8A31-FA7F51831376}</author>
    <author>tc={84D307F5-C671-864E-A8B6-E08441B4818E}</author>
    <author>tc={2377327B-59EE-3545-8F8A-AE8AED070076}</author>
    <author>tc={23A45B0B-C6F1-6248-99DC-D3FB7F79095D}</author>
    <author>tc={C653EB8A-25F4-464F-BD99-C6B45BEA26C3}</author>
    <author>tc={BC8F5940-D88C-FF41-BFB0-C57C664414DF}</author>
    <author>tc={E70E7C6A-F80C-1541-B56C-B7B598D70448}</author>
    <author>tc={2714D861-0A48-5D43-B0B4-66453AEB395D}</author>
    <author>tc={BACA5868-B98A-F34A-BB35-5BF8D7D47027}</author>
    <author>tc={70BF85C9-F9B1-4243-88BC-086E5E41286E}</author>
    <author>tc={D5616C1A-972E-EA45-89C6-4108E9869A9C}</author>
    <author>tc={864108E8-64F4-C649-B7F6-27546ED36042}</author>
    <author>tc={52953B18-6ABF-C140-A50D-98AA9E44D651}</author>
    <author>tc={25389A54-C635-ED40-849A-EEB0EC5D59A1}</author>
    <author>tc={2C7CA6D9-70A4-454D-A0BD-19CB3A5D02DF}</author>
    <author>tc={997F1F94-CD24-FE40-933F-77DF8B8E547F}</author>
    <author>tc={FC146819-31BC-CD4B-BB8F-10573BD83B4A}</author>
    <author>tc={3402EFD0-3B2F-EB41-AC9A-ADE509BA8833}</author>
    <author>tc={486B0BE4-91F5-A947-86B6-995AD147925C}</author>
    <author>tc={BC724579-4871-0448-B3E6-EFAC6D77BD38}</author>
  </authors>
  <commentList>
    <comment ref="B7" authorId="0" shapeId="0" xr:uid="{71F54301-01F9-6142-81B2-70E7EE6CDDF7}">
      <text>
        <t>[Threaded comment]
Your version of Excel allows you to read this threaded comment; however, any edits to it will get removed if the file is opened in a newer version of Excel. Learn more: https://go.microsoft.com/fwlink/?linkid=870924
Comment:
    This is a pull down menu, and you should enter your country of incorporation. You can always add more details on geographic risk exposure in the cost of capital worksheet.</t>
      </text>
    </comment>
    <comment ref="B8" authorId="1" shapeId="0" xr:uid="{54FBC3F9-EB9F-7C41-8C6D-97F512BA685D}">
      <text>
        <t>[Threaded comment]
Your version of Excel allows you to read this threaded comment; however, any edits to it will get removed if the file is opened in a newer version of Excel. Learn more: https://go.microsoft.com/fwlink/?linkid=870924
Comment:
    If you are in multiple businesses, make your judgment on the one industry group that it most falls into, and pick that one for this cell. Later, in the cost of capital section, you will be able to break the company down into more detail.</t>
      </text>
    </comment>
    <comment ref="B9" authorId="2" shapeId="0" xr:uid="{CA4A0E69-2EC1-064C-82D5-50B182E99825}">
      <text>
        <t>[Threaded comment]
Your version of Excel allows you to read this threaded comment; however, any edits to it will get removed if the file is opened in a newer version of Excel. Learn more: https://go.microsoft.com/fwlink/?linkid=870924
Comment:
    If you are in multiple businesses, make your judgment on the one industry group that it most falls into, and pick that one for this cell. In general, your pick here should match your pick in the cell above. Later, in the cost of capital section, you will be able to break the company down into more detail.</t>
      </text>
    </comment>
    <comment ref="C10" authorId="3" shapeId="0" xr:uid="{E0152BD4-8763-E340-9F3D-57E83246CD86}">
      <text>
        <t xml:space="preserve">[Threaded comment]
Your version of Excel allows you to read this threaded comment; however, any edits to it will get removed if the file is opened in a newer version of Excel. Learn more: https://go.microsoft.com/fwlink/?linkid=870924
Comment:
    Aswath Damodaran:
If your last twelve months of data come from a 10K or Annual Report, the last 10K will be the previous year’s 10K or annual report. If your last twelve months are midway through a fiscal year, this will be the previous fiscal year. For example, when valuing Amazon in February 2024, my most recent twelve months happened to be the last fiscal year ended Dec 31, 2023. The last 10K before it would have been the fiscal year ended Dec 31, 2022. However, when I valued Amazon in November 2023, the most recent 12 months would have been through Sept 2023, representing the last quarter of 2022, and the first three quarters of 2023. The most recent 10K (ot annual report) would still have been the 2022 annutal report, but I would have entered 0.75 instead of 1 in the next column.
</t>
      </text>
    </comment>
    <comment ref="D10" authorId="4" shapeId="0" xr:uid="{2D890560-A4D2-9046-BCC4-FEE8DA2A9099}">
      <text>
        <t>[Threaded comment]
Your version of Excel allows you to read this threaded comment; however, any edits to it will get removed if the file is opened in a newer version of Excel. Learn more: https://go.microsoft.com/fwlink/?linkid=870924
Comment:
    If your most recent year's numbers are your current, and you are entering the llast year's numbers for last year, enter 1. If you have trailing 12-month numbers, and you are entering the last fiscal year's numbers as trailing 12-month, enter teh fraction of a year since that last report. Thus, if your trailing 12-month numbers are through September 2023, and yuor lasst fiscal year was  the 2023 calendar year, enter 0.75, since nine months have passed.</t>
      </text>
    </comment>
    <comment ref="B11" authorId="5" shapeId="0" xr:uid="{09E9FA1F-138A-9547-B116-0278E256325D}">
      <text>
        <t>[Threaded comment]
Your version of Excel allows you to read this threaded comment; however, any edits to it will get removed if the file is opened in a newer version of Excel. Learn more: https://go.microsoft.com/fwlink/?linkid=870924
Comment:
    Enter the revenues from the most recent twelve months. If your company had no revenues, enter a  small positive number. (You need a base for your growth rate)</t>
      </text>
    </comment>
    <comment ref="C11" authorId="6" shapeId="0" xr:uid="{B4FAFBEA-7EF5-9E49-BDDC-74E67266D7B3}">
      <text>
        <t xml:space="preserve">[Threaded comment]
Your version of Excel allows you to read this threaded comment; however, any edits to it will get removed if the file is opened in a newer version of Excel. Learn more: https://go.microsoft.com/fwlink/?linkid=870924
Comment:
    Enter the revenues from the last annual report before your most recent 12 months ended. </t>
      </text>
    </comment>
    <comment ref="D11" authorId="7" shapeId="0" xr:uid="{2F9D57EC-A335-6C45-8636-50B8E9391785}">
      <text>
        <t>[Threaded comment]
Your version of Excel allows you to read this threaded comment; however, any edits to it will get removed if the file is opened in a newer version of Excel. Learn more: https://go.microsoft.com/fwlink/?linkid=870924
Comment:
    If your most recent 12 months of data represent the most recent fiscal year, and your last 10 before LTM is the previous fiscal year, enter 1.00. If your most recent 12 months of data are midway through a fiscal year, enter the fraction of the most recent fiscal year is in this data, Thus, if your were valuing Amazon in Nov 2023, and using the trailing 12 months of data through September 2023, the 3rd quarter of the 2023 fiscal year, you would enter 0.75. Enter 0.5, if your data is through the second quarter, and 0.25, if is through the first quarter.</t>
      </text>
    </comment>
    <comment ref="B12" authorId="8" shapeId="0" xr:uid="{AFFC9966-65E7-7849-A618-5DEF034E694A}">
      <text>
        <t>[Threaded comment]
Your version of Excel allows you to read this threaded comment; however, any edits to it will get removed if the file is opened in a newer version of Excel. Learn more: https://go.microsoft.com/fwlink/?linkid=870924
Comment:
    Enter the operating income or EBIT from the most recent 12 months, even if that number is negative. If you have operating leases or R&amp;D and want to adjust for them, use the options below to start the process and enter the numbers in the relevant worksheets.</t>
      </text>
    </comment>
    <comment ref="C12" authorId="9" shapeId="0" xr:uid="{E540843E-F2A3-134C-8531-DA60E38A7694}">
      <text>
        <t>[Threaded comment]
Your version of Excel allows you to read this threaded comment; however, any edits to it will get removed if the file is opened in a newer version of Excel. Learn more: https://go.microsoft.com/fwlink/?linkid=870924
Comment:
    Enter the operating income or EBIT from the annual report or 10K in the fiscal year prior to your most recent 12 month data.</t>
      </text>
    </comment>
    <comment ref="B14" authorId="10" shapeId="0" xr:uid="{77A98811-E565-A44B-A04A-39493A90F633}">
      <text>
        <t>[Threaded comment]
Your version of Excel allows you to read this threaded comment; however, any edits to it will get removed if the file is opened in a newer version of Excel. Learn more: https://go.microsoft.com/fwlink/?linkid=870924
Comment:
    Enter the book value of equity (total) from the end of the most recent 12 months (i.e. the most recent balance sheet, either from an annual report or quarterly report). This book equity will include everything - paid in capital, retained earnings etc. and may even be negative for companies that have been losing money for a while. If your company has minority or non-controlling interests listed separately, include them in this book equity.</t>
      </text>
    </comment>
    <comment ref="C14" authorId="11" shapeId="0" xr:uid="{1B0C707C-9FE4-EC47-8991-BFB3094AFE63}">
      <text>
        <t>[Threaded comment]
Your version of Excel allows you to read this threaded comment; however, any edits to it will get removed if the file is opened in a newer version of Excel. Learn more: https://go.microsoft.com/fwlink/?linkid=870924
Comment:
    Enter the book value of equity (total) from the end of the annual report in the fiscal year prior to your most recent 12 months.</t>
      </text>
    </comment>
    <comment ref="B15" authorId="12" shapeId="0" xr:uid="{4EBAB3AE-4130-E345-91F6-F196751794B7}">
      <text>
        <t xml:space="preserve">[Threaded comment]
Your version of Excel allows you to read this threaded comment; however, any edits to it will get removed if the file is opened in a newer version of Excel. Learn more: https://go.microsoft.com/fwlink/?linkid=870924
Comment:
    Enter the book value of interest bearing debt (short and long term) at your company from the most recent balance sheet. If your company is capitalizing leases, and you trust the accounting calculations, include those as well. (Do not include accounts payable, supplier credit or other non-interest bearing liabilities.) </t>
      </text>
    </comment>
    <comment ref="C15" authorId="13" shapeId="0" xr:uid="{EEE67F91-B486-C642-BCF8-918B32B4F8EF}">
      <text>
        <t>[Threaded comment]
Your version of Excel allows you to read this threaded comment; however, any edits to it will get removed if the file is opened in a newer version of Excel. Learn more: https://go.microsoft.com/fwlink/?linkid=870924
Comment:
    Enter the book value of interest bearing debt (short and long term) at your company from the balance sheet of the fiscal year prior to your most recent 12 months of data.</t>
      </text>
    </comment>
    <comment ref="B16" authorId="14" shapeId="0" xr:uid="{2A62643D-C33C-9A46-A5F0-E66BADC89EAC}">
      <text>
        <t>[Threaded comment]
Your version of Excel allows you to read this threaded comment; however, any edits to it will get removed if the file is opened in a newer version of Excel. Learn more: https://go.microsoft.com/fwlink/?linkid=870924
Comment:
    If you decide to challenge the accountants, and move an expense (like R&amp;D or customer acquisition costs) from operating to capital expenses, enter yes here, but make sure that you go into the R&amp;D worksheet and enter the numbers for your company.</t>
      </text>
    </comment>
    <comment ref="B17" authorId="15" shapeId="0" xr:uid="{AEED2D9E-7933-0546-A108-B06B6DBDF425}">
      <text>
        <t>[Threaded comment]
Your version of Excel allows you to read this threaded comment; however, any edits to it will get removed if the file is opened in a newer version of Excel. Learn more: https://go.microsoft.com/fwlink/?linkid=870924
Comment:
    If your have lease commitments, and accountants are not treating it as debt, or you don’t trust the accountants, enter yes to this, and make sure you enter your company’s lease commitments into the operating lease converter. (But make sure then that you do not include the accounting lease debt in total debt in the column above, or you will double count)</t>
      </text>
    </comment>
    <comment ref="B18" authorId="16" shapeId="0" xr:uid="{E2546F12-07E7-8E43-BAF4-4BA7F486E85D}">
      <text>
        <t>[Threaded comment]
Your version of Excel allows you to read this threaded comment; however, any edits to it will get removed if the file is opened in a newer version of Excel. Learn more: https://go.microsoft.com/fwlink/?linkid=870924
Comment:
    Enter the cash and marketable securities in your most recent balance sheet. In most companies, this will show up under current assets, and can either show up as a consolidated item or as sub-items for cash and short term investments.</t>
      </text>
    </comment>
    <comment ref="C18" authorId="17" shapeId="0" xr:uid="{7036E80F-6A3B-5240-ADB4-827D900C1913}">
      <text>
        <t>[Threaded comment]
Your version of Excel allows you to read this threaded comment; however, any edits to it will get removed if the file is opened in a newer version of Excel. Learn more: https://go.microsoft.com/fwlink/?linkid=870924
Comment:
    Enter the cash balance from the balance sheet of the fiscal year prior to your most recent twelve months.</t>
      </text>
    </comment>
    <comment ref="B19" authorId="18" shapeId="0" xr:uid="{4EF0786B-4C78-E749-BA0E-D37E40A13CCA}">
      <text>
        <t>[Threaded comment]
Your version of Excel allows you to read this threaded comment; however, any edits to it will get removed if the file is opened in a newer version of Excel. Learn more: https://go.microsoft.com/fwlink/?linkid=870924
Comment:
    The most common non-operating assets are minority holdings in other companies (which are not consolidated). You can find the value of these holdings on the balance sheet, and it can be either in book value terms or marked to market. If it is book value, see if you can convert it to a market value. If it is marked to market, just enter the number on the balance sheet.</t>
      </text>
    </comment>
    <comment ref="B20" authorId="19" shapeId="0" xr:uid="{66B71247-062C-884C-A110-2FA7FC5BB361}">
      <text>
        <t>[Threaded comment]
Your version of Excel allows you to read this threaded comment; however, any edits to it will get removed if the file is opened in a newer version of Excel. Learn more: https://go.microsoft.com/fwlink/?linkid=870924
Comment:
    This is a uniquely accounting item and will be on the liability side of your company's balance sheet. It reflects the requirement that if you own more than 50% of another company or have effective control of it, you have to consolidate that company's statements with yours. Thus, you count 100% of that subsidiaries assets, revenues and operating income with your company, even if you own only 60%. The minority interest reflects the book value of the 40% of the equity in the subsidiary that does not belong to you. Again, it is best if you can convert the book value to a market value by applying the price to book ratio for the sector in which the subsidiary operates</t>
      </text>
    </comment>
    <comment ref="B21" authorId="20" shapeId="0" xr:uid="{51B4C672-001E-AC42-885D-01422D0EE688}">
      <text>
        <t>[Threaded comment]
Your version of Excel allows you to read this threaded comment; however, any edits to it will get removed if the file is opened in a newer version of Excel. Learn more: https://go.microsoft.com/fwlink/?linkid=870924
Comment:
    Enter the most recent update you have on the number of shares. If you have different classes of shares, aggregate them all and enter one number. Count restricted stock units (RSUs) as shares but don't count shares underlying employee options.</t>
      </text>
    </comment>
    <comment ref="B22" authorId="21" shapeId="0" xr:uid="{38AE7BD4-BE10-B140-8F0C-6498039783B4}">
      <text>
        <t xml:space="preserve">[Threaded comment]
Your version of Excel allows you to read this threaded comment; however, any edits to it will get removed if the file is opened in a newer version of Excel. Learn more: https://go.microsoft.com/fwlink/?linkid=870924
Comment:
    Enter the most recent stock price (how about today's?) in here. </t>
      </text>
    </comment>
    <comment ref="B23" authorId="22" shapeId="0" xr:uid="{218968A8-BC08-A64F-9F0E-C67E68AA4DD8}">
      <text>
        <t>[Threaded comment]
Your version of Excel allows you to read this threaded comment; however, any edits to it will get removed if the file is opened in a newer version of Excel. Learn more: https://go.microsoft.com/fwlink/?linkid=870924
Comment:
    Enter your effective (not marginal) tax rate for your firm. You will find this in your company's annual report. If you cannot, you can compute it as follows, from the income statement:
Effective tax rate = Taxes paid/ Taxable income
If your effective tax rate varies across years, you can use an average. If the effective tax rate is less than zero, or if you have a money losing company, don't enter zero but enter the marginal tax rate..</t>
      </text>
    </comment>
    <comment ref="B24" authorId="23" shapeId="0" xr:uid="{7EC7B7C4-E2EF-5C47-9F07-E86FFDCD3214}">
      <text>
        <t>[Threaded comment]
Your version of Excel allows you to read this threaded comment; however, any edits to it will get removed if the file is opened in a newer version of Excel. Learn more: https://go.microsoft.com/fwlink/?linkid=870924
Comment:
    This is a statutory tax rate. I use the tax rate of the country the company is domiciled in. See the country equity risk premium worksheet embedded in this spreadsheet for country tax rates.</t>
      </text>
    </comment>
    <comment ref="B26" authorId="24" shapeId="0" xr:uid="{4B2B4743-2757-3E4B-9959-BA2D9ACB4202}">
      <text>
        <t>[Threaded comment]
Your version of Excel allows you to read this threaded comment; however, any edits to it will get removed if the file is opened in a newer version of Excel. Learn more: https://go.microsoft.com/fwlink/?linkid=870924
Comment:
    This will get you started on your revenue projections. While the bigger input will be the revenue growth rate for years 2-5, two cells down, the estimated growth in year 1 (next 12 months) is offered as a separate input for two reasons. (1) For some companies, you may be able to forecast revenues next year much better than revenues afterwards either because you have management guidance or tangible basis (contracts already in place). (2) For pre-revenue companies, where you had to enter a made-up positive number in your revenues cell, this growth rate will allow you to get a year 1 revenue that is a good starting point for forecasts.</t>
      </text>
    </comment>
    <comment ref="B27" authorId="25" shapeId="0" xr:uid="{751B8FE4-9055-B84E-A3C8-0E4DEADB3EA0}">
      <text>
        <t>[Threaded comment]
Your version of Excel allows you to read this threaded comment; however, any edits to it will get removed if the file is opened in a newer version of Excel. Learn more: https://go.microsoft.com/fwlink/?linkid=870924
Comment:
    Again, I am separating out the operating margin for next year, to allow you to use the superior information you may have for the near term to play out in this estimate.</t>
      </text>
    </comment>
    <comment ref="B28" authorId="26" shapeId="0" xr:uid="{5CA1C1D1-F4A5-8446-B5E9-71CD54EF2545}">
      <text>
        <t>[Threaded comment]
Your version of Excel allows you to read this threaded comment; however, any edits to it will get removed if the file is opened in a newer version of Excel. Learn more: https://go.microsoft.com/fwlink/?linkid=870924
Comment:
    I don't have a crystal ball but you should look at 
a. Revenue growth in your company in recent years
b. Your company's revenues, relative to the overall market size and larger players in the sector. 
Suggestion: Check your revenues in year 10 against the overall market and see what market share are you giving your company. Check your company's revenues against other companies in the sector.
Note that this number can be negative for a declining firm.</t>
      </text>
    </comment>
    <comment ref="B29" authorId="27" shapeId="0" xr:uid="{3FA629D8-89D5-E143-B22C-AFE6CD0C8514}">
      <text>
        <t xml:space="preserve">[Threaded comment]
Your version of Excel allows you to read this threaded comment; however, any edits to it will get removed if the file is opened in a newer version of Excel. Learn more: https://go.microsoft.com/fwlink/?linkid=870924
Comment:
    This is the operating margin that you expect your company to move to, over time. For mature companies, it can be close to or equal to the current operating margin. For growth companies (including money-losing), it may the industry average margin or a margin that you estimate given the business characteristics. </t>
      </text>
    </comment>
    <comment ref="B30" authorId="28" shapeId="0" xr:uid="{594B4E1B-3ACD-0F43-A4CB-A9BE88E089B5}">
      <text>
        <t>[Threaded comment]
Your version of Excel allows you to read this threaded comment; however, any edits to it will get removed if the file is opened in a newer version of Excel. Learn more: https://go.microsoft.com/fwlink/?linkid=870924
Comment:
    This is the forecast year in which your current margin will converge on target.</t>
      </text>
    </comment>
    <comment ref="B31" authorId="29" shapeId="0" xr:uid="{AE13966B-AB4E-B34C-AB49-2D7FEA7E9120}">
      <text>
        <t>[Threaded comment]
Your version of Excel allows you to read this threaded comment; however, any edits to it will get removed if the file is opened in a newer version of Excel. Learn more: https://go.microsoft.com/fwlink/?linkid=870924
Comment:
    You are probably wondering what this is but it is how I compute how much you are going to reinvest to keep your business growing in future years. The higher you set this number, the more efficiently you are growing and the higher the value of your growth. Again, look at your company's current number (check on the right). Look at the industry averages as well in the worksheet. (If your company has already invested for the growth for the next few years, this number can be set to a high value for the first five years, to reflect the fact that you don’t have to reinvest as much. (Also check the option at the end of the spreadsheet, to allow for a lag between reinvestment and growth)</t>
      </text>
    </comment>
    <comment ref="B32" authorId="30" shapeId="0" xr:uid="{FBD5A24E-83BA-4543-B49C-42E85C8B9500}">
      <text>
        <t>[Threaded comment]
Your version of Excel allows you to read this threaded comment; however, any edits to it will get removed if the file is opened in a newer version of Excel. Learn more: https://go.microsoft.com/fwlink/?linkid=870924
Comment:
    I give you a second chance to input the sales to invested capital to allow for the fact that as companies scale up they might need to reinvest less (or more) to get the same growth.</t>
      </text>
    </comment>
    <comment ref="B34" authorId="31" shapeId="0" xr:uid="{48C76159-0827-874B-B96B-C4FD25D34B6A}">
      <text>
        <t>[Threaded comment]
Your version of Excel allows you to read this threaded comment; however, any edits to it will get removed if the file is opened in a newer version of Excel. Learn more: https://go.microsoft.com/fwlink/?linkid=870924
Comment:
    This should be today's long term riskfree rate. If you are working with a currency where the government has default risk, clean up the government bond rate to make it riskfree (by subtracting the default spread for the government).</t>
      </text>
    </comment>
    <comment ref="J34" authorId="32" shapeId="0" xr:uid="{41BD63FD-2E13-334D-AC8A-F4702E32C3C5}">
      <text>
        <t>[Threaded comment]
Your version of Excel allows you to read this threaded comment; however, any edits to it will get removed if the file is opened in a newer version of Excel. Learn more: https://go.microsoft.com/fwlink/?linkid=870924
Comment:
    Compare to your total market and check your market share.</t>
      </text>
    </comment>
    <comment ref="B35" authorId="33" shapeId="0" xr:uid="{A59C3A77-9765-B147-B40F-B2F3A4E48AC3}">
      <text>
        <t>[Threaded comment]
Your version of Excel allows you to read this threaded comment; however, any edits to it will get removed if the file is opened in a newer version of Excel. Learn more: https://go.microsoft.com/fwlink/?linkid=870924
Comment:
    Use the cost of capital worksheet to either input directly, calculate from company details on business &amp; geography mix, use an industry average or even a histogram across all companies.</t>
      </text>
    </comment>
    <comment ref="J35" authorId="34" shapeId="0" xr:uid="{DB629F1F-F83F-F647-853F-47BFC31610CD}">
      <text>
        <t xml:space="preserve">[Threaded comment]
Your version of Excel allows you to read this threaded comment; however, any edits to it will get removed if the file is opened in a newer version of Excel. Learn more: https://go.microsoft.com/fwlink/?linkid=870924
Comment:
    Determined by your target margin. </t>
      </text>
    </comment>
    <comment ref="J36" authorId="35" shapeId="0" xr:uid="{B1F53202-2F0D-D541-9E18-76005E4E45E4}">
      <text>
        <t>[Threaded comment]
Your version of Excel allows you to read this threaded comment; however, any edits to it will get removed if the file is opened in a newer version of Excel. Learn more: https://go.microsoft.com/fwlink/?linkid=870924
Comment:
    Function of both your target margin and your sales to capital ratio.</t>
      </text>
    </comment>
    <comment ref="B37" authorId="36" shapeId="0" xr:uid="{3B1FC220-3FE7-E54A-96FA-E03CEFCBFDE2}">
      <text>
        <t xml:space="preserve">[Threaded comment]
Your version of Excel allows you to read this threaded comment; however, any edits to it will get removed if the file is opened in a newer version of Excel. Learn more: https://go.microsoft.com/fwlink/?linkid=870924
Comment:
    Check your annual report or 10K for whether your companies has employee options still outstanding.  </t>
      </text>
    </comment>
    <comment ref="B38" authorId="37" shapeId="0" xr:uid="{635D9BDD-F56D-3A4B-BB73-B545395723F2}">
      <text>
        <t xml:space="preserve">[Threaded comment]
Your version of Excel allows you to read this threaded comment; however, any edits to it will get removed if the file is opened in a newer version of Excel. Learn more: https://go.microsoft.com/fwlink/?linkid=870924
Comment:
    Check your company's annual report or 10K. If it does have options outstanding, enter the total number here (vested and non vested, in the money and out… </t>
      </text>
    </comment>
    <comment ref="B39" authorId="38" shapeId="0" xr:uid="{F6C404B5-0607-B64F-8A31-FA7F51831376}">
      <text>
        <t>[Threaded comment]
Your version of Excel allows you to read this threaded comment; however, any edits to it will get removed if the file is opened in a newer version of Excel. Learn more: https://go.microsoft.com/fwlink/?linkid=870924
Comment:
    Enter the weighted average strike price of your options. (Should be in your 10K or annual report.)</t>
      </text>
    </comment>
    <comment ref="B40" authorId="39" shapeId="0" xr:uid="{84D307F5-C671-864E-A8B6-E08441B4818E}">
      <text>
        <t>[Threaded comment]
Your version of Excel allows you to read this threaded comment; however, any edits to it will get removed if the file is opened in a newer version of Excel. Learn more: https://go.microsoft.com/fwlink/?linkid=870924
Comment:
    The weighted average maturity of your options should be reported in your financial statements.</t>
      </text>
    </comment>
    <comment ref="B41" authorId="40" shapeId="0" xr:uid="{2377327B-59EE-3545-8F8A-AE8AED070076}">
      <text>
        <t>[Threaded comment]
Your version of Excel allows you to read this threaded comment; however, any edits to it will get removed if the file is opened in a newer version of Excel. Learn more: https://go.microsoft.com/fwlink/?linkid=870924
Comment:
    If you have a standard deviation for your stock, enter that number. If not, use the US and Global Industry average worksheets in this spreadsheet to look up the industry average standard deviation.</t>
      </text>
    </comment>
    <comment ref="B46" authorId="41" shapeId="0" xr:uid="{23A45B0B-C6F1-6248-99DC-D3FB7F79095D}">
      <text>
        <t>[Threaded comment]
Your version of Excel allows you to read this threaded comment; however, any edits to it will get removed if the file is opened in a newer version of Excel. Learn more: https://go.microsoft.com/fwlink/?linkid=870924
Comment:
    You have three choices. You can move your cost of capital to the industry average or median, over time.
That should on this page, to your right. Second, you can see the market-wide distribution in the cost of capital worksheet to look at the distribution of costs of capital across the market. Third, you can leave it at the current cost of capital by entering your initial cost of capital here.</t>
      </text>
    </comment>
    <comment ref="B49" authorId="42" shapeId="0" xr:uid="{C653EB8A-25F4-464F-BD99-C6B45BEA26C3}">
      <text>
        <t>[Threaded comment]
Your version of Excel allows you to read this threaded comment; however, any edits to it will get removed if the file is opened in a newer version of Excel. Learn more: https://go.microsoft.com/fwlink/?linkid=870924
Comment:
    Even if you believe your firm has significant competitive advantages, you should expect the return on capital for a company to come down over time, at least on new projects. If you don’t see long term competitive advantages, you should just leave the cell above at No.</t>
      </text>
    </comment>
    <comment ref="B51" authorId="43" shapeId="0" xr:uid="{BC8F5940-D88C-FF41-BFB0-C57C664414DF}">
      <text>
        <t>[Threaded comment]
Your version of Excel allows you to read this threaded comment; however, any edits to it will get removed if the file is opened in a newer version of Excel. Learn more: https://go.microsoft.com/fwlink/?linkid=870924
Comment:
    If your company is money-losing or in decline, and you believe that there is a significant chance it will not survive, enter yes here, and the inputs below. Failure can also be caused by catastrophes or government action.</t>
      </text>
    </comment>
    <comment ref="B52" authorId="44" shapeId="0" xr:uid="{E70E7C6A-F80C-1541-B56C-B7B598D70448}">
      <text>
        <t xml:space="preserve">[Threaded comment]
Your version of Excel allows you to read this threaded comment; however, any edits to it will get removed if the file is opened in a newer version of Excel. Learn more: https://go.microsoft.com/fwlink/?linkid=870924
Comment:
    Aswath Damodaran
If you want to look at ways of estimating this probability, try the failure rate worksheet embedded in this spreadsheet.  </t>
      </text>
    </comment>
    <comment ref="B53" authorId="45" shapeId="0" xr:uid="{2714D861-0A48-5D43-B0B4-66453AEB395D}">
      <text>
        <t>[Threaded comment]
Your version of Excel allows you to read this threaded comment; however, any edits to it will get removed if the file is opened in a newer version of Excel. Learn more: https://go.microsoft.com/fwlink/?linkid=870924
Comment:
    If the firm fail and has to liquidate its assets, you need to specify what the liquidation proceeds will be tied to. For young growth companies, I would tie it to value and with distressed firms (especially ones with significant assets in place), I would use book value.</t>
      </text>
    </comment>
    <comment ref="B54" authorId="46" shapeId="0" xr:uid="{BACA5868-B98A-F34A-BB35-5BF8D7D47027}">
      <text>
        <t>[Threaded comment]
Your version of Excel allows you to read this threaded comment; however, any edits to it will get removed if the file is opened in a newer version of Excel. Learn more: https://go.microsoft.com/fwlink/?linkid=870924
Comment:
    You will generally not get 100% of fair value. How much less than 100% you get will depend on whether there are lots of potential buyers for your assets and how much of a hurry you are in to liquidate. It may well be zero for a young growth company with no tangible assets.</t>
      </text>
    </comment>
    <comment ref="B56" authorId="47" shapeId="0" xr:uid="{70BF85C9-F9B1-4243-88BC-086E5E41286E}">
      <text>
        <t>[Threaded comment]
Your version of Excel allows you to read this threaded comment; however, any edits to it will get removed if the file is opened in a newer version of Excel. Learn more: https://go.microsoft.com/fwlink/?linkid=870924
Comment:
    The default in the spreadsheet is to assume that reinvestment in a year creates growth in the same year. That may work in service businesses or for companies that grow through acquisitions, but in some businesses, there will be a lag between when you invest (in a new factory or R&amp;D) and when you see revenue growth. Enter yes and the following inputs.</t>
      </text>
    </comment>
    <comment ref="B57" authorId="48" shapeId="0" xr:uid="{D5616C1A-972E-EA45-89C6-4108E9869A9C}">
      <text>
        <t>[Threaded comment]
Your version of Excel allows you to read this threaded comment; however, any edits to it will get removed if the file is opened in a newer version of Excel. Learn more: https://go.microsoft.com/fwlink/?linkid=870924
Comment:
    The default is set to zero (contemporaneous growth, but you can a lag up to three years between investment and growth)</t>
      </text>
    </comment>
    <comment ref="B59" authorId="49" shapeId="0" xr:uid="{864108E8-64F4-C649-B7F6-27546ED36042}">
      <text>
        <t>[Threaded comment]
Your version of Excel allows you to read this threaded comment; however, any edits to it will get removed if the file is opened in a newer version of Excel. Learn more: https://go.microsoft.com/fwlink/?linkid=870924
Comment:
    In general, it is prudent to assume that your company, no matter how capable it is on the tax management front, will eventually have to pay its marginal tax rate. There are some companies, though, where the low effective tax rate comes from structural factors (revenues from low-tax locales), rather than tax deferral, and you may want to leave the effective tax rate unchanged.</t>
      </text>
    </comment>
    <comment ref="B62" authorId="50" shapeId="0" xr:uid="{52953B18-6ABF-C140-A50D-98AA9E44D651}">
      <text>
        <t>[Threaded comment]
Your version of Excel allows you to read this threaded comment; however, any edits to it will get removed if the file is opened in a newer version of Excel. Learn more: https://go.microsoft.com/fwlink/?linkid=870924
Comment:
    This is the NOL from prior years carried forward into this year. Check the footnotes to your financial statements to see if there are any loss carry forwards.</t>
      </text>
    </comment>
    <comment ref="B64" authorId="51" shapeId="0" xr:uid="{25389A54-C635-ED40-849A-EEB0EC5D59A1}">
      <text>
        <t>[Threaded comment]
Your version of Excel allows you to read this threaded comment; however, any edits to it will get removed if the file is opened in a newer version of Excel. Learn more: https://go.microsoft.com/fwlink/?linkid=870924
Comment:
    My advice, in most cases is to leave this as no, and I will leave the current riskfree rate unchanged in perpetuity. If you do feel that interest rates will change over time, and you are inclined to forecast that level (normalized, historical average, etc.), enter yes, and the expected interest rate below.</t>
      </text>
    </comment>
    <comment ref="B65" authorId="52" shapeId="0" xr:uid="{2C7CA6D9-70A4-454D-A0BD-19CB3A5D02DF}">
      <text>
        <t>[Threaded comment]
Your version of Excel allows you to read this threaded comment; however, any edits to it will get removed if the file is opened in a newer version of Excel. Learn more: https://go.microsoft.com/fwlink/?linkid=870924
Comment:
    This is your forecast for the long-term, default free rate in the currency that you are working with, ten years from now.</t>
      </text>
    </comment>
    <comment ref="B67" authorId="53" shapeId="0" xr:uid="{997F1F94-CD24-FE40-933F-77DF8B8E547F}">
      <text>
        <t>[Threaded comment]
Your version of Excel allows you to read this threaded comment; however, any edits to it will get removed if the file is opened in a newer version of Excel. Learn more: https://go.microsoft.com/fwlink/?linkid=870924
Comment:
    Leave this  at no,  for the most part, but use yes, if you have a firm that you see declining after year 10 or growing at a rate much lower than the rest of the economy.</t>
      </text>
    </comment>
    <comment ref="B68" authorId="54" shapeId="0" xr:uid="{FC146819-31BC-CD4B-BB8F-10573BD83B4A}">
      <text>
        <t xml:space="preserve">[Threaded comment]
Your version of Excel allows you to read this threaded comment; however, any edits to it will get removed if the file is opened in a newer version of Excel. Learn more: https://go.microsoft.com/fwlink/?linkid=870924
Comment:
    Be VERY, VERY careful. This is a growth rate in perpetuity, after year 10. Entering numbers significantly (more than 1%) higher than the risk free rate will render your valuation close to useless.
</t>
      </text>
    </comment>
    <comment ref="B70" authorId="55" shapeId="0" xr:uid="{3402EFD0-3B2F-EB41-AC9A-ADE509BA8833}">
      <text>
        <t>[Threaded comment]
Your version of Excel allows you to read this threaded comment; however, any edits to it will get removed if the file is opened in a newer version of Excel. Learn more: https://go.microsoft.com/fwlink/?linkid=870924
Comment:
    US tax law no longer has the global taxation feature that it used to have prior to 2017. So, no is the better answer. However, it the tax laws revert back to pre-2017 standards, this option will come into play, as companies part their cash outside the US.</t>
      </text>
    </comment>
    <comment ref="B71" authorId="56" shapeId="0" xr:uid="{486B0BE4-91F5-A947-86B6-995AD147925C}">
      <text>
        <t>[Threaded comment]
Your version of Excel allows you to read this threaded comment; however, any edits to it will get removed if the file is opened in a newer version of Excel. Learn more: https://go.microsoft.com/fwlink/?linkid=870924
Comment:
    If your concern is that a portion of the cash is trapped in foreign markets and will be subject to tax, when returned, enter the trapped cash balance. If you feel that the entire cash balance is being discounted because markets don't trust managers, enter the entire cash balance.</t>
      </text>
    </comment>
    <comment ref="B72" authorId="57" shapeId="0" xr:uid="{BC724579-4871-0448-B3E6-EFAC6D77BD38}">
      <text>
        <t>[Threaded comment]
Your version of Excel allows you to read this threaded comment; however, any edits to it will get removed if the file is opened in a newer version of Excel. Learn more: https://go.microsoft.com/fwlink/?linkid=870924
Comment:
    This is the additional tax due, if the cash is trapped cash. If your concern is that all cash is being discounted by the market because of management mistrust, enter the percentage discount to apply to cash.</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tc={AA550503-3638-E344-A76C-EC9EE16E8E35}</author>
    <author>tc={0773F50D-8F4A-8942-A093-8D85A28A7EFC}</author>
    <author>tc={92B75667-258A-9041-A90E-BA34684C64D8}</author>
  </authors>
  <commentList>
    <comment ref="F8" authorId="0" shapeId="0" xr:uid="{AA550503-3638-E344-A76C-EC9EE16E8E35}">
      <text>
        <t xml:space="preserve">[Threaded comment]
Your version of Excel allows you to read this threaded comment; however, any edits to it will get removed if the file is opened in a newer version of Excel. Learn more: https://go.microsoft.com/fwlink/?linkid=870924
Comment:
    If your most recent year's operating income is unusually low or high, you can use the average operating income from the last few years. </t>
      </text>
    </comment>
    <comment ref="F9" authorId="1" shapeId="0" xr:uid="{0773F50D-8F4A-8942-A093-8D85A28A7EFC}">
      <text>
        <t>[Threaded comment]
Your version of Excel allows you to read this threaded comment; however, any edits to it will get removed if the file is opened in a newer version of Excel. Learn more: https://go.microsoft.com/fwlink/?linkid=870924
Comment:
    Enter the interest expense from the most recent income statement.</t>
      </text>
    </comment>
    <comment ref="F10" authorId="2" shapeId="0" xr:uid="{92B75667-258A-9041-A90E-BA34684C64D8}">
      <text>
        <t>[Threaded comment]
Your version of Excel allows you to read this threaded comment; however, any edits to it will get removed if the file is opened in a newer version of Excel. Learn more: https://go.microsoft.com/fwlink/?linkid=870924
Comment:
    I use a 10 year government bond rate.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tc={BC7D716B-CF00-F547-AE72-E2F45BCC1F61}</author>
    <author>tc={ED7E82EC-F310-0248-9E9E-817504C4829B}</author>
    <author>tc={592C6C60-5223-4B45-8A69-B291166B7E7E}</author>
  </authors>
  <commentList>
    <comment ref="F7" authorId="0" shapeId="0" xr:uid="{BC7D716B-CF00-F547-AE72-E2F45BCC1F61}">
      <text>
        <t>[Threaded comment]
Your version of Excel allows you to read this threaded comment; however, any edits to it will get removed if the file is opened in a newer version of Excel. Learn more: https://go.microsoft.com/fwlink/?linkid=870924
Comment:
    Enter the R&amp;D expense in the most recent 12 months of data.</t>
      </text>
    </comment>
    <comment ref="B10" authorId="1" shapeId="0" xr:uid="{ED7E82EC-F310-0248-9E9E-817504C4829B}">
      <text>
        <t>[Threaded comment]
Your version of Excel allows you to read this threaded comment; however, any edits to it will get removed if the file is opened in a newer version of Excel. Learn more: https://go.microsoft.com/fwlink/?linkid=870924
Comment:
    Enter the R&amp;D expenses from the years before the last 12 months, starting with the last year (-1), the year before that (-2) etc..</t>
      </text>
    </comment>
    <comment ref="D40" authorId="2" shapeId="0" xr:uid="{592C6C60-5223-4B45-8A69-B291166B7E7E}">
      <text>
        <t>[Threaded comment]
Your version of Excel allows you to read this threaded comment; however, any edits to it will get removed if the file is opened in a newer version of Excel. Learn more: https://go.microsoft.com/fwlink/?linkid=870924
Comment:
    By expensing R&amp;D rather than capitalizing it, the firm gets a tax benefit. This is the dollar value of that tax benefit.</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tc={4E9D46C3-9490-AE49-9C1C-FE39D8287CF7}</author>
    <author>tc={088A5D00-F7DB-F641-B5E4-2511B8451119}</author>
  </authors>
  <commentList>
    <comment ref="E4" authorId="0" shapeId="0" xr:uid="{4E9D46C3-9490-AE49-9C1C-FE39D8287CF7}">
      <text>
        <t>[Threaded comment]
Your version of Excel allows you to read this threaded comment; however, any edits to it will get removed if the file is opened in a newer version of Excel. Learn more: https://go.microsoft.com/fwlink/?linkid=870924
Comment:
    Enter the operating lease expense in the most recent 12 months.</t>
      </text>
    </comment>
    <comment ref="B6" authorId="1" shapeId="0" xr:uid="{088A5D00-F7DB-F641-B5E4-2511B8451119}">
      <text>
        <t>[Threaded comment]
Your version of Excel allows you to read this threaded comment; however, any edits to it will get removed if the file is opened in a newer version of Excel. Learn more: https://go.microsoft.com/fwlink/?linkid=870924
Comment:
    Enter the expected contractual lease commitments in future years, with a lump=sum after year 5. US companies report these numbers in the footnotes. European companies sometimes report them with years lumped together (Years 1&amp;2, Years 3 through 5). If that is the case, take the annual averages and enter them in these cells.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tc={A23E286D-FDA4-E04B-B2B6-8101484E8233}</author>
    <author>tc={E56104C5-7C66-F848-B455-D4DEB1B906C4}</author>
    <author>tc={48141766-7F07-C447-89ED-3E1A81023B2B}</author>
    <author>tc={568DD258-B547-7D4B-8EA5-8936C8A36C7A}</author>
    <author>tc={0B49E534-4839-224A-A0D8-3E69E03A9811}</author>
    <author>tc={5A91BFC2-E30D-1B4A-87B9-BB138BF07698}</author>
    <author>tc={99D69372-A294-2A49-8F68-E27D38561195}</author>
    <author>tc={CDB18AC1-A933-1F49-84C1-AA536ECAB35B}</author>
    <author>tc={40F47070-A7F9-764E-BF6F-3CDF01F6763D}</author>
  </authors>
  <commentList>
    <comment ref="B23" authorId="0" shapeId="0" xr:uid="{A23E286D-FDA4-E04B-B2B6-8101484E8233}">
      <text>
        <t>[Threaded comment]
Your version of Excel allows you to read this threaded comment; however, any edits to it will get removed if the file is opened in a newer version of Excel. Learn more: https://go.microsoft.com/fwlink/?linkid=870924
Comment:
    If you input a beta directly, I will unlever that beta using the current debt to equity ratio.</t>
      </text>
    </comment>
    <comment ref="B25" authorId="1" shapeId="0" xr:uid="{E56104C5-7C66-F848-B455-D4DEB1B906C4}">
      <text>
        <t>[Threaded comment]
Your version of Excel allows you to read this threaded comment; however, any edits to it will get removed if the file is opened in a newer version of Excel. Learn more: https://go.microsoft.com/fwlink/?linkid=870924
Comment:
    If you pick operating regions or countries, please input the revenues by country or region in the table to the right.</t>
      </text>
    </comment>
    <comment ref="B27" authorId="2" shapeId="0" xr:uid="{48141766-7F07-C447-89ED-3E1A81023B2B}">
      <text>
        <t>[Threaded comment]
Your version of Excel allows you to read this threaded comment; however, any edits to it will get removed if the file is opened in a newer version of Excel. Learn more: https://go.microsoft.com/fwlink/?linkid=870924
Comment:
    If your company has risk exposure in emergiing markets, incorporate that risk premiums here. See worksheet on country risk premiums.</t>
      </text>
    </comment>
    <comment ref="B31" authorId="3" shapeId="0" xr:uid="{568DD258-B547-7D4B-8EA5-8936C8A36C7A}">
      <text>
        <t>[Threaded comment]
Your version of Excel allows you to read this threaded comment; however, any edits to it will get removed if the file is opened in a newer version of Excel. Learn more: https://go.microsoft.com/fwlink/?linkid=870924
Comment:
    Interest expense (gross) from most recent financial statement.</t>
      </text>
    </comment>
    <comment ref="B32" authorId="4" shapeId="0" xr:uid="{0B49E534-4839-224A-A0D8-3E69E03A9811}">
      <text>
        <t>[Threaded comment]
Your version of Excel allows you to read this threaded comment; however, any edits to it will get removed if the file is opened in a newer version of Excel. Learn more: https://go.microsoft.com/fwlink/?linkid=870924
Comment:
    Generally found in footnotes to financial statements. If you cannot find it, enter zero,</t>
      </text>
    </comment>
    <comment ref="B33" authorId="5" shapeId="0" xr:uid="{5A91BFC2-E30D-1B4A-87B9-BB138BF07698}">
      <text>
        <t>[Threaded comment]
Your version of Excel allows you to read this threaded comment; however, any edits to it will get removed if the file is opened in a newer version of Excel. Learn more: https://go.microsoft.com/fwlink/?linkid=870924
Comment:
    Check to see if your company has a bond rating from S&amp;P or Moodys and if it does, pick actual rating. Otherwise, you will have to use a rating based upon the interest coverage ratio. You can also override this choice, and directly input the pre-tax cost of debt by adding a default spread to your riskfree rate.</t>
      </text>
    </comment>
    <comment ref="B35" authorId="6" shapeId="0" xr:uid="{99D69372-A294-2A49-8F68-E27D38561195}">
      <text>
        <t>[Threaded comment]
Your version of Excel allows you to read this threaded comment; however, any edits to it will get removed if the file is opened in a newer version of Excel. Learn more: https://go.microsoft.com/fwlink/?linkid=870924
Comment:
    If you cannot find your rating on this pulldown menu, pick the closest one you can find.</t>
      </text>
    </comment>
    <comment ref="B36" authorId="7" shapeId="0" xr:uid="{CDB18AC1-A933-1F49-84C1-AA536ECAB35B}">
      <text>
        <t>[Threaded comment]
Your version of Excel allows you to read this threaded comment; however, any edits to it will get removed if the file is opened in a newer version of Excel. Learn more: https://go.microsoft.com/fwlink/?linkid=870924
Comment:
    This input is used only when you pick the synthetic rating option.
1: Large market cap (&gt;$5 billion) and safe.
2: Small market cap (&lt;$5 billion) or risky.
If company has volatile earnings or is in risky business, use 2, even if large market cap.</t>
      </text>
    </comment>
    <comment ref="B37" authorId="8" shapeId="0" xr:uid="{40F47070-A7F9-764E-BF6F-3CDF01F6763D}">
      <text>
        <t>[Threaded comment]
Your version of Excel allows you to read this threaded comment; however, any edits to it will get removed if the file is opened in a newer version of Excel. Learn more: https://go.microsoft.com/fwlink/?linkid=870924
Comment:
    Current, long term cost of borrowing money. If you have a rating use it, if not use a synthetic rating. See the worksheet attached.</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tc={C3B82CD1-0285-F746-B2B0-DC065BFFA19E}</author>
  </authors>
  <commentList>
    <comment ref="B1" authorId="0" shapeId="0" xr:uid="{C3B82CD1-0285-F746-B2B0-DC065BFFA19E}">
      <text>
        <t>[Threaded comment]
Your version of Excel allows you to read this threaded comment; however, any edits to it will get removed if the file is opened in a newer version of Excel. Learn more: https://go.microsoft.com/fwlink/?linkid=870924
Comment:
    This is the estimate for the ERP for a mature market, that then updates all of the ERP for other countries by adding the CRP to it. I update the ERP for the S&amp;P 500 at the start of every month on my website (damodaran.com) and if you want, you can change this number to the most recent update.</t>
      </text>
    </comment>
  </commentList>
</comments>
</file>

<file path=xl/sharedStrings.xml><?xml version="1.0" encoding="utf-8"?>
<sst xmlns="http://schemas.openxmlformats.org/spreadsheetml/2006/main" count="1705" uniqueCount="996">
  <si>
    <t>If calculated value is negative or looks too low</t>
    <phoneticPr fontId="6" type="noConversion"/>
  </si>
  <si>
    <t>If calculated value looks too high</t>
    <phoneticPr fontId="6" type="noConversion"/>
  </si>
  <si>
    <t>Increase revenue growth rate</t>
    <phoneticPr fontId="6" type="noConversion"/>
  </si>
  <si>
    <t>Decrease revenue growth rate</t>
    <phoneticPr fontId="6" type="noConversion"/>
  </si>
  <si>
    <t>Inputs</t>
  </si>
  <si>
    <t>Revenues</t>
  </si>
  <si>
    <t>EBIT(1-t)</t>
  </si>
  <si>
    <t>Number of shares</t>
    <phoneticPr fontId="5" type="noConversion"/>
  </si>
  <si>
    <t>Base year</t>
    <phoneticPr fontId="5" type="noConversion"/>
  </si>
  <si>
    <t xml:space="preserve"> - Reinvestment</t>
    <phoneticPr fontId="5" type="noConversion"/>
  </si>
  <si>
    <t>FCFF</t>
  </si>
  <si>
    <t>Implied variables</t>
    <phoneticPr fontId="5" type="noConversion"/>
  </si>
  <si>
    <t>Invested capital</t>
    <phoneticPr fontId="5" type="noConversion"/>
  </si>
  <si>
    <t>ROIC</t>
    <phoneticPr fontId="5" type="noConversion"/>
  </si>
  <si>
    <t>Revenue growth rate</t>
    <phoneticPr fontId="5" type="noConversion"/>
  </si>
  <si>
    <t>PV(FCFF)</t>
    <phoneticPr fontId="5" type="noConversion"/>
  </si>
  <si>
    <t>Terminal cash flow</t>
    <phoneticPr fontId="5" type="noConversion"/>
  </si>
  <si>
    <t>Terminal value</t>
    <phoneticPr fontId="5" type="noConversion"/>
  </si>
  <si>
    <t>PV(Terminal value)</t>
    <phoneticPr fontId="5" type="noConversion"/>
  </si>
  <si>
    <t>EBIT (Operating income)</t>
    <phoneticPr fontId="5" type="noConversion"/>
  </si>
  <si>
    <t>EBIT (Operating) margin</t>
    <phoneticPr fontId="5" type="noConversion"/>
  </si>
  <si>
    <t>Riskfree rate</t>
    <phoneticPr fontId="6" type="noConversion"/>
  </si>
  <si>
    <t>Your calculated value as a percent of current price</t>
    <phoneticPr fontId="6" type="noConversion"/>
  </si>
  <si>
    <t>Operating income or EBIT</t>
  </si>
  <si>
    <t>Book value of equity</t>
  </si>
  <si>
    <t>Book value of debt</t>
  </si>
  <si>
    <t>Number of shares outstanding =</t>
  </si>
  <si>
    <t>Current stock price =</t>
  </si>
  <si>
    <t>Company name</t>
  </si>
  <si>
    <t>The value drivers below:</t>
  </si>
  <si>
    <t xml:space="preserve">Market numbers </t>
  </si>
  <si>
    <t>Sales to capital ratio</t>
  </si>
  <si>
    <t>Initial cost of capital =</t>
  </si>
  <si>
    <t>Do you want to override this assumption =</t>
  </si>
  <si>
    <t>If yes, enter the return on capital you expect after year 10</t>
  </si>
  <si>
    <t>If yes, enter the cost of capital after year 10 =</t>
  </si>
  <si>
    <t>After year 10</t>
  </si>
  <si>
    <t>Value of operating assets =</t>
  </si>
  <si>
    <t>Terminal year</t>
  </si>
  <si>
    <t>PV (CF over next 10 years)</t>
  </si>
  <si>
    <t>Sum of PV</t>
  </si>
  <si>
    <t>NOL</t>
  </si>
  <si>
    <t>If yes, enter the NOL that you are carrying over into year 1</t>
  </si>
  <si>
    <t>Price as % of value</t>
  </si>
  <si>
    <t>No</t>
  </si>
  <si>
    <t>Value of equity</t>
  </si>
  <si>
    <t>Mature companies find it difficult to generate returns that exceed the cost of capital</t>
  </si>
  <si>
    <t>Mature companies generally see their risk levels approach the average</t>
  </si>
  <si>
    <t>Check the financial statements.</t>
  </si>
  <si>
    <t>Yes</t>
  </si>
  <si>
    <t xml:space="preserve"> - Value of options</t>
  </si>
  <si>
    <t>Value of equity in common stock</t>
  </si>
  <si>
    <t>Valuing Options or Warrants</t>
  </si>
  <si>
    <t>Enter the current stock price =</t>
  </si>
  <si>
    <t>Enter the strike price on the option =</t>
  </si>
  <si>
    <t>Enter the expiration of the option =</t>
  </si>
  <si>
    <t>Enter the standard deviation in stock prices =</t>
  </si>
  <si>
    <t>(volatility)</t>
  </si>
  <si>
    <t>Enter the annualized dividend yield on stock =</t>
  </si>
  <si>
    <t>Enter the treasury bond rate =</t>
  </si>
  <si>
    <t>Enter the number of warrants (options) outstanding =</t>
  </si>
  <si>
    <t>Enter the number of shares outstanding =</t>
  </si>
  <si>
    <t>Do not input any numbers below this line</t>
  </si>
  <si>
    <t>Stock Price=</t>
  </si>
  <si>
    <t># Warrants issued=</t>
  </si>
  <si>
    <t>Strike Price=</t>
  </si>
  <si>
    <t># Shares outstanding=</t>
  </si>
  <si>
    <t>Adjusted S =</t>
  </si>
  <si>
    <t>T.Bond rate=</t>
  </si>
  <si>
    <t>Adjusted K =</t>
  </si>
  <si>
    <t>Variance=</t>
  </si>
  <si>
    <t>Expiration (in years) =</t>
  </si>
  <si>
    <t>Annualized dividend yield=</t>
  </si>
  <si>
    <t>Div. Adj. interest rate=</t>
  </si>
  <si>
    <t xml:space="preserve">d1 = </t>
  </si>
  <si>
    <t>N (d1) =</t>
  </si>
  <si>
    <t xml:space="preserve">d2 = </t>
  </si>
  <si>
    <t>N (d2) =</t>
  </si>
  <si>
    <t xml:space="preserve">Value per option = </t>
  </si>
  <si>
    <t>Value of all options outstanding =</t>
  </si>
  <si>
    <t>Other inputs</t>
  </si>
  <si>
    <t>Number of options outstanding =</t>
  </si>
  <si>
    <t>Average strike price =</t>
  </si>
  <si>
    <t>Average maturity =</t>
  </si>
  <si>
    <t>Standard deviation on stock price =</t>
  </si>
  <si>
    <t>Estimated value /share</t>
  </si>
  <si>
    <t>Industry Name</t>
  </si>
  <si>
    <t>Advertising</t>
  </si>
  <si>
    <t>NA</t>
  </si>
  <si>
    <t>Sales/Capital</t>
  </si>
  <si>
    <t>There should be a check against the iteration box. If there is not, you will get circular reasoning errors.</t>
  </si>
  <si>
    <t>Price</t>
  </si>
  <si>
    <t>B</t>
  </si>
  <si>
    <t>B: Book value of capital, V= Estimated fair value for the company</t>
  </si>
  <si>
    <t>Effective tax rate =</t>
  </si>
  <si>
    <t>Marginal tax rate =</t>
  </si>
  <si>
    <t xml:space="preserve">Default assumptions. </t>
  </si>
  <si>
    <t>In stable growth, I will assume that your firm will have a cost of capital similar to that of typical mature companies (riskfree rate + 4.5%)</t>
  </si>
  <si>
    <t>I will assume that your firm will earn a return on capital equal to its cost of capital after year 10. I am assuming that whatever competitive advantages you have today will fade over time.</t>
  </si>
  <si>
    <t>If yes, enter the probability of failure =</t>
  </si>
  <si>
    <t>Probability of failure =</t>
  </si>
  <si>
    <t>Proceeds if firm fails =</t>
  </si>
  <si>
    <t>What do you want to tie your proceeds in failure to?</t>
  </si>
  <si>
    <t>This can be zero, if the assets will be worth nothing if the firm fails.</t>
  </si>
  <si>
    <t>Many young, growth companies fail, especially if they have trouble raising cash. Many distressed companies fail, because they have trouble making debt payments.</t>
  </si>
  <si>
    <t>Operating Lease Converter</t>
  </si>
  <si>
    <t>Operating lease expense in current year =</t>
  </si>
  <si>
    <t>Operating Lease Commitments (From footnote to financials)</t>
  </si>
  <si>
    <t>Year</t>
  </si>
  <si>
    <t>Commitment</t>
  </si>
  <si>
    <t>! Year 1 is next year, ….</t>
  </si>
  <si>
    <t>6 and beyond</t>
  </si>
  <si>
    <t>Output</t>
  </si>
  <si>
    <t>Pre-tax Cost of Debt =</t>
  </si>
  <si>
    <t>Number of years embedded in yr 6 estimate =</t>
  </si>
  <si>
    <t>! I use the average lease expense over the first five years</t>
  </si>
  <si>
    <t>to estimate the number of years of expenses in yr 6</t>
  </si>
  <si>
    <t>Converting Operating Leases into debt</t>
  </si>
  <si>
    <t>Present Value</t>
  </si>
  <si>
    <t>! Commitment beyond year 6 converted into an annuity for ten years</t>
  </si>
  <si>
    <t>Debt Value of leases =</t>
  </si>
  <si>
    <t>Restated Financials</t>
  </si>
  <si>
    <t>Depreciation on Operating Lease Asset =</t>
  </si>
  <si>
    <t>! I use straight line depreciation</t>
  </si>
  <si>
    <t>Adjustment to Operating Earnings =</t>
  </si>
  <si>
    <t>Adjustment to Total Debt outstanding =</t>
  </si>
  <si>
    <t>! Add this amount to pre-tax operating income</t>
  </si>
  <si>
    <t>! Add this amount to debt</t>
  </si>
  <si>
    <t>I will assume that you have no losses carried forward from prior years ( NOL) coming into the valuation. If you have a money losing company, you may want to override tis.</t>
  </si>
  <si>
    <t>I will assume that your firm has no chance of failure over the foreseeable future.</t>
  </si>
  <si>
    <t>Tax rate</t>
  </si>
  <si>
    <t>I will assume that your effective tax rate will adjust to your marginal tax rate by your terminal year. If you override this assumption, I will leave the tax rate at your effective tax rate.</t>
  </si>
  <si>
    <t>Terminal cost of capital</t>
  </si>
  <si>
    <t>But there are significant exceptions among companies with long-lasting competitive advantages.</t>
  </si>
  <si>
    <t>An NOL will shield your income from taxes, even after you start making money.</t>
  </si>
  <si>
    <t>Cost of capital</t>
  </si>
  <si>
    <t>Cumulated discount factor</t>
  </si>
  <si>
    <t>Decrease the sales/capital ratio</t>
  </si>
  <si>
    <t>Increase the sales/capital ratio</t>
  </si>
  <si>
    <t>Increase the target pre-tax operating margin</t>
  </si>
  <si>
    <t>Decrease the target pre-tax operating margin</t>
  </si>
  <si>
    <t>Increase relative to your cost of capital</t>
  </si>
  <si>
    <t>If higher than your cost of capital, lower towards your cost of capital</t>
  </si>
  <si>
    <t xml:space="preserve"> </t>
  </si>
  <si>
    <t>T</t>
  </si>
  <si>
    <t>The yellow cells are input cells. Please enter them.</t>
  </si>
  <si>
    <t>Annual Average Revenue growth - Last 5 years</t>
  </si>
  <si>
    <t>Average effective tax rate</t>
  </si>
  <si>
    <t>Equity (Levered) Beta</t>
  </si>
  <si>
    <t>Cost of equity</t>
  </si>
  <si>
    <t>Std deviation in stock prices</t>
  </si>
  <si>
    <t>Pre-tax cost of debt</t>
  </si>
  <si>
    <t>Market Debt/Capital</t>
  </si>
  <si>
    <t>EV/Sales</t>
  </si>
  <si>
    <t>EV/EBITDA</t>
  </si>
  <si>
    <t>EV/EBIT</t>
  </si>
  <si>
    <t>Price/Book</t>
  </si>
  <si>
    <t>Trailing PE</t>
  </si>
  <si>
    <t>Number of firms</t>
  </si>
  <si>
    <t>Revenue growth in the most recent year =</t>
  </si>
  <si>
    <t>Pre-tax operating margin in the most recent year =</t>
  </si>
  <si>
    <t>Sales to capital ratio in most recent year =</t>
  </si>
  <si>
    <t>Return on invested capital in most recent year=</t>
  </si>
  <si>
    <t>After-tax ROC</t>
  </si>
  <si>
    <t>Estimation of Current Cost of Capital</t>
  </si>
  <si>
    <t>Equity</t>
  </si>
  <si>
    <t>Number of Shares outstanding =</t>
  </si>
  <si>
    <t>Current Market Price per share =</t>
  </si>
  <si>
    <t>Riskfree Rate =</t>
  </si>
  <si>
    <t>Debt</t>
  </si>
  <si>
    <t>Book Value of Straight Debt =</t>
  </si>
  <si>
    <t>Interest Expense on Debt =</t>
  </si>
  <si>
    <t>Average Maturity =</t>
  </si>
  <si>
    <t>Tax Rate =</t>
  </si>
  <si>
    <t>Book Value of Convertible Debt =</t>
  </si>
  <si>
    <t>Interest Expense on Convertible =</t>
  </si>
  <si>
    <t>Maturity of Convertible Bond =</t>
  </si>
  <si>
    <t>Market Value of Convertible =</t>
  </si>
  <si>
    <t>Debt value of operating leases =</t>
  </si>
  <si>
    <t>Preferred Stock</t>
  </si>
  <si>
    <t>Number of Preferred Shares =</t>
  </si>
  <si>
    <t>Current Market Price per Share=</t>
  </si>
  <si>
    <t>Annual Dividend per Share =</t>
  </si>
  <si>
    <t>Estimating Market Value of Straight Debt =</t>
  </si>
  <si>
    <t>Estimated Value of Straight Debt in Convertible =</t>
  </si>
  <si>
    <t>Value of Debt in Operating leases =</t>
  </si>
  <si>
    <t>Estimated Value of Equity in Convertible =</t>
  </si>
  <si>
    <t xml:space="preserve">Debt </t>
  </si>
  <si>
    <t>Capital</t>
  </si>
  <si>
    <t>Market Value</t>
  </si>
  <si>
    <t>Weight in Cost of Capital</t>
  </si>
  <si>
    <t>Cost of Component</t>
  </si>
  <si>
    <t>Unlevered beta =</t>
  </si>
  <si>
    <t>Unlevered Beta</t>
  </si>
  <si>
    <t>Levered Beta for equity =</t>
  </si>
  <si>
    <t>Inputs for synthetic rating estimation</t>
  </si>
  <si>
    <t>Please read the special cases worksheet (see below) before you use this spreadsheet.</t>
  </si>
  <si>
    <t>Before you use this spreadsheet, make sure that the iteration box (under calculation options in excel) is checked.</t>
  </si>
  <si>
    <t>Enter the type of firm =</t>
  </si>
  <si>
    <t>Enter current Earnings before interest and taxes (EBIT) =</t>
  </si>
  <si>
    <t>(Add back only long term interest expense for financial firms)</t>
  </si>
  <si>
    <t>Enter current interest expenses =</t>
  </si>
  <si>
    <t>(Use only long term interest expense for financial firms)</t>
  </si>
  <si>
    <t>Interest  coverage ratio =</t>
  </si>
  <si>
    <t>Estimated Bond Rating =</t>
  </si>
  <si>
    <t>Note: If you get REF! All over the place, set the operating lease commitment question in cell F5</t>
  </si>
  <si>
    <t>to No, and then reset it to Yes. It should work.</t>
  </si>
  <si>
    <t>Estimated Cost of Debt =</t>
  </si>
  <si>
    <t xml:space="preserve"> If you want to update the spreads listed below, please visit http://www.bondsonline.com</t>
    <phoneticPr fontId="9"/>
  </si>
  <si>
    <t>For large manufacturing firms</t>
  </si>
  <si>
    <t>If interest coverage ratio is</t>
  </si>
  <si>
    <t>&gt;</t>
  </si>
  <si>
    <t>≤ to</t>
  </si>
  <si>
    <t>Rating is</t>
  </si>
  <si>
    <t>Spread is</t>
  </si>
  <si>
    <t>greater than</t>
  </si>
  <si>
    <t>For smaller and riskier firms</t>
  </si>
  <si>
    <t>Enter long term risk free rate  =</t>
  </si>
  <si>
    <t>! If you do not have a cost of debt, use the synthetic rating estimator</t>
  </si>
  <si>
    <t>V</t>
  </si>
  <si>
    <t>Enter the distress proceeds as percentage of book or fair value</t>
  </si>
  <si>
    <t>Company</t>
  </si>
  <si>
    <t>Yes/No</t>
  </si>
  <si>
    <t>Book or Market Value</t>
  </si>
  <si>
    <t>Computed numbers: Here is what your company's numbers look like, relative to industry.</t>
  </si>
  <si>
    <t>Do you have operating lease commitments?</t>
  </si>
  <si>
    <t>Cash and cross holdings</t>
  </si>
  <si>
    <t>Do you have employee options outstanding?</t>
  </si>
  <si>
    <t>Albania</t>
  </si>
  <si>
    <t>Angola</t>
  </si>
  <si>
    <t>Argentina</t>
  </si>
  <si>
    <t>Armenia</t>
  </si>
  <si>
    <t>Aruba</t>
  </si>
  <si>
    <t>Australia</t>
  </si>
  <si>
    <t>Austria</t>
  </si>
  <si>
    <t>Bahamas</t>
  </si>
  <si>
    <t>Bahrain</t>
  </si>
  <si>
    <t>Bangladesh</t>
  </si>
  <si>
    <t>Barbados</t>
  </si>
  <si>
    <t>Belarus</t>
  </si>
  <si>
    <t>Belgium</t>
  </si>
  <si>
    <t>Bermuda</t>
  </si>
  <si>
    <t>Bolivia</t>
  </si>
  <si>
    <t>Bosnia and Herzegovina</t>
  </si>
  <si>
    <t>Botswana</t>
  </si>
  <si>
    <t>Brazil</t>
  </si>
  <si>
    <t>Bulgaria</t>
  </si>
  <si>
    <t>Cambodia</t>
  </si>
  <si>
    <t>Canada</t>
  </si>
  <si>
    <t>Cayman Islands</t>
  </si>
  <si>
    <t>Chile</t>
  </si>
  <si>
    <t>China</t>
  </si>
  <si>
    <t>Colombia</t>
  </si>
  <si>
    <t>Costa Rica</t>
  </si>
  <si>
    <t>Croatia</t>
  </si>
  <si>
    <t>Cyprus</t>
  </si>
  <si>
    <t>Czech Republic</t>
  </si>
  <si>
    <t>Denmark</t>
  </si>
  <si>
    <t>Dominican Republic</t>
  </si>
  <si>
    <t>Ecuador</t>
  </si>
  <si>
    <t>Egypt</t>
  </si>
  <si>
    <t>Estonia</t>
  </si>
  <si>
    <t>Fiji</t>
  </si>
  <si>
    <t>Finland</t>
  </si>
  <si>
    <t>France</t>
  </si>
  <si>
    <t>Germany</t>
  </si>
  <si>
    <t>Greece</t>
  </si>
  <si>
    <t>Guatemala</t>
  </si>
  <si>
    <t>Honduras</t>
  </si>
  <si>
    <t>Hong Kong</t>
  </si>
  <si>
    <t>Hungary</t>
  </si>
  <si>
    <t>Iceland</t>
  </si>
  <si>
    <t>India</t>
  </si>
  <si>
    <t>Indonesia</t>
  </si>
  <si>
    <t>Ireland</t>
  </si>
  <si>
    <t>Isle of Man</t>
  </si>
  <si>
    <t>Israel</t>
  </si>
  <si>
    <t>Italy</t>
  </si>
  <si>
    <t>Jamaica</t>
  </si>
  <si>
    <t>Japan</t>
  </si>
  <si>
    <t>Jordan</t>
  </si>
  <si>
    <t>Kazakhstan</t>
  </si>
  <si>
    <t>Kuwait</t>
  </si>
  <si>
    <t>Latvia</t>
  </si>
  <si>
    <t>Liechtenstein</t>
  </si>
  <si>
    <t>Lithuania</t>
  </si>
  <si>
    <t>Luxembourg</t>
  </si>
  <si>
    <t>Macedonia</t>
  </si>
  <si>
    <t>Malaysia</t>
  </si>
  <si>
    <t>Malta</t>
  </si>
  <si>
    <t>Mauritius</t>
  </si>
  <si>
    <t>Mexico</t>
  </si>
  <si>
    <t>Montenegro</t>
  </si>
  <si>
    <t>Mozambique</t>
  </si>
  <si>
    <t>Namibia</t>
  </si>
  <si>
    <t>Netherlands</t>
  </si>
  <si>
    <t>New Zealand</t>
  </si>
  <si>
    <t>Nigeria</t>
  </si>
  <si>
    <t>Norway</t>
  </si>
  <si>
    <t>Oman</t>
  </si>
  <si>
    <t>Pakistan</t>
  </si>
  <si>
    <t>Panama</t>
  </si>
  <si>
    <t>Papua New Guinea</t>
  </si>
  <si>
    <t>Paraguay</t>
  </si>
  <si>
    <t>Peru</t>
  </si>
  <si>
    <t>Philippines</t>
  </si>
  <si>
    <t>Poland</t>
  </si>
  <si>
    <t>Portugal</t>
  </si>
  <si>
    <t>Qatar</t>
  </si>
  <si>
    <t>Romania</t>
  </si>
  <si>
    <t>Russia</t>
  </si>
  <si>
    <t>Saudi Arabia</t>
  </si>
  <si>
    <t>Serbia</t>
  </si>
  <si>
    <t>Singapore</t>
  </si>
  <si>
    <t>Slovenia</t>
  </si>
  <si>
    <t>South Africa</t>
  </si>
  <si>
    <t>Spain</t>
  </si>
  <si>
    <t>Sri Lanka</t>
  </si>
  <si>
    <t>Sweden</t>
  </si>
  <si>
    <t>Switzerland</t>
  </si>
  <si>
    <t>Taiwan</t>
  </si>
  <si>
    <t>Thailand</t>
  </si>
  <si>
    <t>Tunisia</t>
  </si>
  <si>
    <t>Turkey</t>
  </si>
  <si>
    <t>Ukraine</t>
  </si>
  <si>
    <t>United Arab Emirates</t>
  </si>
  <si>
    <t>United Kingdom</t>
  </si>
  <si>
    <t>United States</t>
  </si>
  <si>
    <t>Uruguay</t>
  </si>
  <si>
    <t>Venezuela</t>
  </si>
  <si>
    <t>Vietnam</t>
  </si>
  <si>
    <t>Zambia</t>
  </si>
  <si>
    <t>Country</t>
  </si>
  <si>
    <t>Adj. Default Spread</t>
  </si>
  <si>
    <t>Country Risk Premium</t>
  </si>
  <si>
    <t>Region</t>
  </si>
  <si>
    <t>Western Europe</t>
  </si>
  <si>
    <t>Africa</t>
  </si>
  <si>
    <t>Central and South America</t>
  </si>
  <si>
    <t>Australia &amp; New Zealand</t>
  </si>
  <si>
    <t>Azerbaijan</t>
  </si>
  <si>
    <t>Caribbean</t>
  </si>
  <si>
    <t>Middle East</t>
  </si>
  <si>
    <t>Belize</t>
  </si>
  <si>
    <t>North America</t>
  </si>
  <si>
    <t>Cuba</t>
  </si>
  <si>
    <t>El Salvador</t>
  </si>
  <si>
    <t>Georgia</t>
  </si>
  <si>
    <t>Lebanon</t>
  </si>
  <si>
    <t>Moldova</t>
  </si>
  <si>
    <t>Mongolia</t>
  </si>
  <si>
    <t>Morocco</t>
  </si>
  <si>
    <t>Nicaragua</t>
  </si>
  <si>
    <t>Senegal</t>
  </si>
  <si>
    <t>Slovakia</t>
  </si>
  <si>
    <t>St. Vincent &amp; the Grenadines</t>
  </si>
  <si>
    <t>Suriname</t>
  </si>
  <si>
    <t>ERP</t>
  </si>
  <si>
    <t>Weighted ERP</t>
  </si>
  <si>
    <t>Weight</t>
  </si>
  <si>
    <t>Total</t>
  </si>
  <si>
    <t>Cost of capital =</t>
  </si>
  <si>
    <t>Standard deviation in stock prices =</t>
  </si>
  <si>
    <t>Date of valuation</t>
  </si>
  <si>
    <t xml:space="preserve">Non-operating assets </t>
  </si>
  <si>
    <t xml:space="preserve"> + Non-operating assets</t>
  </si>
  <si>
    <t xml:space="preserve"> +  Cash</t>
  </si>
  <si>
    <t xml:space="preserve"> - Debt</t>
  </si>
  <si>
    <t>Minority interests</t>
  </si>
  <si>
    <t xml:space="preserve"> - Minority interests</t>
  </si>
  <si>
    <t>Business</t>
  </si>
  <si>
    <t>Estimated Value</t>
  </si>
  <si>
    <t>Trailing 12 month</t>
  </si>
  <si>
    <t>Lease commitments</t>
  </si>
  <si>
    <t>Year 1</t>
  </si>
  <si>
    <t>Year 2</t>
  </si>
  <si>
    <t>Year 3</t>
  </si>
  <si>
    <t>Year 4</t>
  </si>
  <si>
    <t>Year 5</t>
  </si>
  <si>
    <t>Beyond year 5</t>
  </si>
  <si>
    <t>R &amp; D Converter</t>
  </si>
  <si>
    <t>This spreadsheet converts R&amp;D expenses from operating to capital expenses. It makes the appropriate adjustments to operating income, net</t>
  </si>
  <si>
    <t>income, the book value of assets and the book value of equity.</t>
  </si>
  <si>
    <t>Over how many years do you want to amortize R&amp;D expenses</t>
  </si>
  <si>
    <t>! If in doubt, use the lookup table below</t>
  </si>
  <si>
    <t>Enter the current year's R&amp;D expense =</t>
  </si>
  <si>
    <t>The maximum allowed is ten years</t>
  </si>
  <si>
    <t>Enter R&amp; D expenses for past years: the number of years that you will need to enter will be determined by the amortization period</t>
  </si>
  <si>
    <t>Do not input numbers in the first column (Year). It will get automatically updated  based on the input above.</t>
  </si>
  <si>
    <t>R&amp; D Expenses</t>
  </si>
  <si>
    <t>R&amp;D Expense</t>
  </si>
  <si>
    <t>Unamortized portion</t>
  </si>
  <si>
    <t>Amortization this year</t>
  </si>
  <si>
    <t>Current</t>
  </si>
  <si>
    <t>Value of Research Asset =</t>
  </si>
  <si>
    <t>Amortization of asset for current year =</t>
  </si>
  <si>
    <t>Adjustment to Operating Income =</t>
  </si>
  <si>
    <t>! A positive number indicates an increase in operating income (add to reported EBIT)</t>
  </si>
  <si>
    <t>Tax Effect of R&amp;D Expensing</t>
  </si>
  <si>
    <t>Do you have R&amp;D expenses to capitalize?</t>
  </si>
  <si>
    <t>First X months: Last year</t>
  </si>
  <si>
    <t>First X months: Current year</t>
  </si>
  <si>
    <t>If you are not working in US dollars, you should add the inflation differential to the industry averages.</t>
  </si>
  <si>
    <t>Asia</t>
  </si>
  <si>
    <t>Kenya</t>
  </si>
  <si>
    <t>St. Maarten</t>
  </si>
  <si>
    <t>Uganda</t>
  </si>
  <si>
    <t>Industry (US)</t>
  </si>
  <si>
    <t>Industry (Global)</t>
  </si>
  <si>
    <t>Interest expense</t>
  </si>
  <si>
    <t>Interest expenses</t>
  </si>
  <si>
    <t>What approach do you want to use to input ERP?</t>
  </si>
  <si>
    <t>ERP choices</t>
  </si>
  <si>
    <t>Will input</t>
  </si>
  <si>
    <t>Operating countries</t>
  </si>
  <si>
    <t>Operating regions</t>
  </si>
  <si>
    <t>Country of incorporation</t>
  </si>
  <si>
    <t>Direct input for ERP (if you choose "will input"</t>
  </si>
  <si>
    <t>Equity Risk Premium used in cost of equity =</t>
  </si>
  <si>
    <t>Operating Regions ERP calculator</t>
  </si>
  <si>
    <t>Cost of debt</t>
  </si>
  <si>
    <t>Direct input</t>
  </si>
  <si>
    <t>Synthetic rating</t>
  </si>
  <si>
    <t>Actual rating</t>
  </si>
  <si>
    <t>Approach for estimating pre-tax cost of debt</t>
  </si>
  <si>
    <t>If actual rating, input the rating</t>
  </si>
  <si>
    <t>If direct input, input the pre-tax cost of debt</t>
  </si>
  <si>
    <t>D2/D</t>
  </si>
  <si>
    <t>Caa/CCC</t>
  </si>
  <si>
    <t>Ca2/CC</t>
  </si>
  <si>
    <t>C2/C</t>
  </si>
  <si>
    <t>B3/B-</t>
  </si>
  <si>
    <t>B2/B</t>
  </si>
  <si>
    <t>B1/B+</t>
  </si>
  <si>
    <t>Ba2/BB</t>
  </si>
  <si>
    <t>Ba1/BB+</t>
  </si>
  <si>
    <t>Baa2/BBB</t>
  </si>
  <si>
    <t>A3/A-</t>
  </si>
  <si>
    <t>A2/A</t>
  </si>
  <si>
    <t>A1/A+</t>
  </si>
  <si>
    <t>Aa2/AA</t>
  </si>
  <si>
    <t>Aaa/AAA</t>
  </si>
  <si>
    <t>If synethetic rating, input the type of company</t>
  </si>
  <si>
    <t>Estimated Company Default Spread =</t>
  </si>
  <si>
    <t>Estimated County Default Spread (if any) =</t>
  </si>
  <si>
    <t>Approach for estimating beta</t>
  </si>
  <si>
    <t>Beta</t>
  </si>
  <si>
    <t>If direct input, enter levered beta (or regression beta)</t>
  </si>
  <si>
    <t>Multi Business (US Industry Averages)</t>
  </si>
  <si>
    <t>Multi Business (Global Industry Averages)</t>
  </si>
  <si>
    <t>Multibusiness(Global)</t>
  </si>
  <si>
    <t>Single Business(US)</t>
  </si>
  <si>
    <t>Single Business(Global)</t>
  </si>
  <si>
    <t>Multibusiness(US)</t>
  </si>
  <si>
    <t>ROE</t>
  </si>
  <si>
    <t>Abu Dhabi</t>
  </si>
  <si>
    <t>Burkina Faso</t>
  </si>
  <si>
    <t>Cameroon</t>
  </si>
  <si>
    <t>Cape Verde</t>
  </si>
  <si>
    <t>Cook Islands</t>
  </si>
  <si>
    <t>Gabon</t>
  </si>
  <si>
    <t>Ghana</t>
  </si>
  <si>
    <t>Kyrgyzstan</t>
  </si>
  <si>
    <t>Montserrat</t>
  </si>
  <si>
    <t>Rwanda</t>
  </si>
  <si>
    <t>Global</t>
  </si>
  <si>
    <t>Adjustment to Depreciation =</t>
  </si>
  <si>
    <t>Non-cash WC as % of Revenues</t>
  </si>
  <si>
    <t>Cap Ex as % of Revenues</t>
  </si>
  <si>
    <t>Net Cap Ex as % of Revenues</t>
  </si>
  <si>
    <t>Reinvestment Rate</t>
  </si>
  <si>
    <t>Dividend Payout Ratio</t>
  </si>
  <si>
    <t>Equity Reinvestment Rate</t>
  </si>
  <si>
    <t>Andorra (Principality of)</t>
  </si>
  <si>
    <t>Congo (Democratic Republic of)</t>
  </si>
  <si>
    <t>Congo (Republic of)</t>
  </si>
  <si>
    <t>Ethiopia</t>
  </si>
  <si>
    <t>Ras Al Khaimah (Emirate of)</t>
  </si>
  <si>
    <t>Sharjah</t>
  </si>
  <si>
    <t>Computer Services</t>
  </si>
  <si>
    <t>Entertainment</t>
  </si>
  <si>
    <t>Operating Countries ERP calculator</t>
  </si>
  <si>
    <t>Cash and Marketable Securities</t>
  </si>
  <si>
    <t>Cross holdings and other non-operating assets</t>
  </si>
  <si>
    <t>Valuation Output Feedback (for you to use to fine tune your inputs, if you want)</t>
  </si>
  <si>
    <t>Revenues in year 10, based on your revenue growth =</t>
  </si>
  <si>
    <t>Return on invested capital in year 10, based on your sales/capital ratio =</t>
  </si>
  <si>
    <t>Pre-tax Operating Income in year 10, based on your operating margin =</t>
  </si>
  <si>
    <t>Check the Diagnostics worksheet for more details.</t>
  </si>
  <si>
    <t>Do you want to override this assumption</t>
  </si>
  <si>
    <t>&amp; Average tax rate of the foreign markets where the cash is trapped</t>
  </si>
  <si>
    <t>Corporate Tax Rate</t>
  </si>
  <si>
    <t>I will assume that the growth rate in perpetuity will be equal to the risk free rate. This allows for both valuation consistency and prevents "impossible" growth rates.</t>
  </si>
  <si>
    <t>If yes, enter the growth rate in perpetuity</t>
  </si>
  <si>
    <t>This can be negative, if you feel the company will decline (and disappear) after growth is done. If you let it exceed the risk free rate, you are on your own in uncharted territory.</t>
  </si>
  <si>
    <t>Value per share</t>
  </si>
  <si>
    <t>Years since last 10K</t>
  </si>
  <si>
    <t>I have assumed that none of the cash is trapped (in foreign countries) and that there is no additional tax liability coming due and that cash is a neutral asset.</t>
  </si>
  <si>
    <t>Cash that is trapped in foreign markets (and subject to additoinal tax) or cash that is being discounted by the market (because of management mistrust)</t>
  </si>
  <si>
    <t>Additional tax rate due on trapped cash or discount being applied to cash balance because of mistrust.</t>
  </si>
  <si>
    <t>If yes, enter trapped cash (if taxes) or entire balance (if mistrust)</t>
  </si>
  <si>
    <t>The Assumptions</t>
  </si>
  <si>
    <t>Base year</t>
  </si>
  <si>
    <t>Years 6-10</t>
  </si>
  <si>
    <t>Operating Margin</t>
  </si>
  <si>
    <t>The Cash Flows</t>
  </si>
  <si>
    <t>EBIT (1-t)</t>
  </si>
  <si>
    <t>The Value</t>
  </si>
  <si>
    <t>Terminal value</t>
  </si>
  <si>
    <t>PV(Terminal value)</t>
  </si>
  <si>
    <t>Link to story</t>
  </si>
  <si>
    <t>Revenues (a)</t>
  </si>
  <si>
    <t>Operating margin (b)</t>
  </si>
  <si>
    <t>Cost of capital (d)</t>
  </si>
  <si>
    <t xml:space="preserve">Reinvestment </t>
  </si>
  <si>
    <t>Number of shares</t>
  </si>
  <si>
    <t>EBIT</t>
  </si>
  <si>
    <t>Adjustment for distress</t>
  </si>
  <si>
    <t xml:space="preserve"> + Cash &amp; Other Non-operating assets</t>
  </si>
  <si>
    <t xml:space="preserve"> - Value of equity options</t>
  </si>
  <si>
    <t>Stock was trading at =</t>
  </si>
  <si>
    <t>Tell your story about the company. Keep it focuses on the company's businesses and tie it into the three key levers of value: cash flows, growth and risk</t>
  </si>
  <si>
    <t>Tie each assumption to the part of your story that relates to it.</t>
  </si>
  <si>
    <t>These are the numbers that come from your assumptions. The revenues over time reflect your revenue growth, the operating margins evolve towards your target margin and your tax rate will change, if you have set it to. The reinvestment is estimated using the sales to capital ratio for the first 10 years and based on a reinvestment rate in stable growth (g/ ROC).</t>
  </si>
  <si>
    <t>Return on capital</t>
  </si>
  <si>
    <t>Marginal ROIC =</t>
  </si>
  <si>
    <t>This is the output from your valuation. It reflects your cash flows being discounted back at the cost of capital to get to your operating asset value, which then gets adjusted for the likelihood that your firm will not make it. We add cash and non-operating assets, subtract out debt and minority interests to get to value of equity.</t>
  </si>
  <si>
    <t>Iraq</t>
  </si>
  <si>
    <t>The last two rows in each of country/region risk premium tables is set aside for your input to provide you with flexibility to enter some numbers directly. For instance, assume that you have a company that breaks its revenues down into three countries and then puts the rest into "Rest of the World". You can enter the "Rest of the World" in one of these two rows and enter an equity risk premium for the rest of the world. The easiest way to do that is to go into the country equity risk premium worksheet and change the GDP for the three countries that you have data for to zero and compute the global weighted average ERP for the remaining countries. With the regional worksheet, you can use the last two rows to enter the data for an individual country (usually the domestic country) that might be broken out though the rest of the revenues are broken down by region. You can look up the ERP for the country in the country ERP worksheet.</t>
  </si>
  <si>
    <t>Current year's lease expense</t>
  </si>
  <si>
    <t>Copy into operating lease worksheet</t>
  </si>
  <si>
    <t>Sales to Capital</t>
  </si>
  <si>
    <t>Reinvestment</t>
  </si>
  <si>
    <t>Cost of Capital</t>
  </si>
  <si>
    <t>Terminal Value</t>
  </si>
  <si>
    <t>Speed of convergence level</t>
  </si>
  <si>
    <t>Moody's rating</t>
  </si>
  <si>
    <t>Equity Risk Premium</t>
  </si>
  <si>
    <t>Aa2</t>
  </si>
  <si>
    <t>B1</t>
  </si>
  <si>
    <t>Algeria</t>
  </si>
  <si>
    <t>Baa2</t>
  </si>
  <si>
    <t>B2</t>
  </si>
  <si>
    <t>Baa1</t>
  </si>
  <si>
    <t>Aaa</t>
  </si>
  <si>
    <t>Aa1</t>
  </si>
  <si>
    <t>Ba2</t>
  </si>
  <si>
    <t>Baa3</t>
  </si>
  <si>
    <t>Ba3</t>
  </si>
  <si>
    <t>Caa1</t>
  </si>
  <si>
    <t>Aa3</t>
  </si>
  <si>
    <t>B3</t>
  </si>
  <si>
    <t>Benin</t>
  </si>
  <si>
    <t>A2</t>
  </si>
  <si>
    <t>Brunei</t>
  </si>
  <si>
    <t>A1</t>
  </si>
  <si>
    <t>Caa2</t>
  </si>
  <si>
    <t>A3</t>
  </si>
  <si>
    <t>Gambia</t>
  </si>
  <si>
    <t>Ba1</t>
  </si>
  <si>
    <t>Guinea</t>
  </si>
  <si>
    <t>Guinea-Bissau</t>
  </si>
  <si>
    <t>Guyana</t>
  </si>
  <si>
    <t>Haiti</t>
  </si>
  <si>
    <t>Iran</t>
  </si>
  <si>
    <t>Korea, D.P.R.</t>
  </si>
  <si>
    <t>Liberia</t>
  </si>
  <si>
    <t>Libya</t>
  </si>
  <si>
    <t>Madagascar</t>
  </si>
  <si>
    <t>Malawi</t>
  </si>
  <si>
    <t>Mali</t>
  </si>
  <si>
    <t>Myanmar</t>
  </si>
  <si>
    <t>Niger</t>
  </si>
  <si>
    <t>Sierra Leone</t>
  </si>
  <si>
    <t>Solomon Islands</t>
  </si>
  <si>
    <t>Somalia</t>
  </si>
  <si>
    <t>Sudan</t>
  </si>
  <si>
    <t>Swaziland</t>
  </si>
  <si>
    <t>Syria</t>
  </si>
  <si>
    <t>Tajikistan</t>
  </si>
  <si>
    <t>Tanzania</t>
  </si>
  <si>
    <t>Togo</t>
  </si>
  <si>
    <t>Zimbabwe</t>
  </si>
  <si>
    <t>Mature Market ERP +</t>
  </si>
  <si>
    <t>You can use this spreadsheet to compute your cost of capital. You can either use the built-in data to compute key inputs (beta, equity risk premium, default spread) or enter them directly. If you choose to use the built in ERP data, you can update the ERP numbers to reflect a more current mature market premuum (since the spreadsheet uses the start of the year numbers).</t>
  </si>
  <si>
    <t>C</t>
  </si>
  <si>
    <t>Pre-tax Operating Margin (Unadjusted)</t>
  </si>
  <si>
    <t>Rest of the World</t>
  </si>
  <si>
    <t>Technology &amp; Content</t>
  </si>
  <si>
    <t>G&amp;A</t>
  </si>
  <si>
    <t>Marketing Costs</t>
  </si>
  <si>
    <t>Content Costs</t>
  </si>
  <si>
    <t>Content Costs (Cash Flows)</t>
  </si>
  <si>
    <t>Laos</t>
  </si>
  <si>
    <t>Pre-tax Operating Margin (Lease &amp; R&amp;D adjusted)</t>
  </si>
  <si>
    <t>I will asssume that today's risk free rate will prevail in perpetuity. If you override this assumption, I will change the riskfree rate after year 10.</t>
  </si>
  <si>
    <t>If yes, enter the riskfree rate after year 10</t>
  </si>
  <si>
    <t>If yes, you will be asked to enter a normal risk free rate and your growth in perpetuity will be adjusted accordingly.</t>
  </si>
  <si>
    <t>Enter your estimate of what the riskfree rate (in your currency of choice) will be after year 10</t>
  </si>
  <si>
    <t>This is an option to let you use a negative growth rate in perpetuity or to even liquidate the firm.</t>
  </si>
  <si>
    <t xml:space="preserve">Revenue growth rate for next year </t>
  </si>
  <si>
    <t>Compounded annual revenue growth rate - years 2-5 =</t>
  </si>
  <si>
    <t>Operating Margin for next year</t>
  </si>
  <si>
    <t>Ca</t>
  </si>
  <si>
    <t>Caa3</t>
  </si>
  <si>
    <t xml:space="preserve"> - Debt &amp; Minority Interests</t>
  </si>
  <si>
    <t>Chemical (Basic)</t>
  </si>
  <si>
    <t>Chemical (Specialty)</t>
  </si>
  <si>
    <t>Electronics (General)</t>
  </si>
  <si>
    <t>Metals &amp; Mining</t>
  </si>
  <si>
    <t>Oil/Gas (Production and Exploration)</t>
  </si>
  <si>
    <t>Rating</t>
  </si>
  <si>
    <t>AAA</t>
  </si>
  <si>
    <t>AA</t>
  </si>
  <si>
    <t>A</t>
  </si>
  <si>
    <t>BBB</t>
  </si>
  <si>
    <t>BB</t>
  </si>
  <si>
    <t>CCC/C</t>
  </si>
  <si>
    <t>Years 2-5</t>
  </si>
  <si>
    <t>Default Probabilities over time (1 - 10 year time horizons)</t>
  </si>
  <si>
    <t>Next year</t>
  </si>
  <si>
    <t>Sales to capital ratio (for years 6-10)</t>
  </si>
  <si>
    <t>Though some sectors, even in stable growth, may have higher risk. If you change your risk free rate after year 10 (see cell B57 &amp; 58), you should incorporate the change into your stable cost of capital estimate.</t>
  </si>
  <si>
    <t>Guernsey (States of)</t>
  </si>
  <si>
    <t>Jersey (States of)</t>
  </si>
  <si>
    <t>Maldives</t>
  </si>
  <si>
    <t>Uzbekistan</t>
  </si>
  <si>
    <t>Changing this number will update all your country equity risk premiums.</t>
  </si>
  <si>
    <t>Retail (General)</t>
  </si>
  <si>
    <t>The Disruption Platform Rolls on</t>
  </si>
  <si>
    <t xml:space="preserve">Amazon continues on its transformation from online retailer to disruption platform, willling to enter any business that it perceives as inefficiently run, and changing it. Along the way, it  will invest large amounts of capital and wait for long periods to attain profitability. </t>
  </si>
  <si>
    <t>Disruption platform in multiple businesses</t>
  </si>
  <si>
    <t>Margins improve, aided by cloud business &amp; continued economies of scale.</t>
  </si>
  <si>
    <t>Global/US marginal tax rate over time</t>
  </si>
  <si>
    <t>Cost of capital close to median company</t>
  </si>
  <si>
    <t>NR</t>
  </si>
  <si>
    <t>Tax Rate</t>
  </si>
  <si>
    <t>Aerospace/Defense</t>
  </si>
  <si>
    <t>Air Transport</t>
  </si>
  <si>
    <t>Apparel</t>
  </si>
  <si>
    <t>Auto &amp; Truck</t>
  </si>
  <si>
    <t>Auto Parts</t>
  </si>
  <si>
    <t>Beverage (Alcoholic)</t>
  </si>
  <si>
    <t>Beverage (Soft)</t>
  </si>
  <si>
    <t>Broadcasting</t>
  </si>
  <si>
    <t>Building Materials</t>
  </si>
  <si>
    <t>Business &amp; Consumer Services</t>
  </si>
  <si>
    <t>Cable TV</t>
  </si>
  <si>
    <t>Chemical (Diversified)</t>
  </si>
  <si>
    <t>Coal &amp; Related Energy</t>
  </si>
  <si>
    <t>Computers/Peripherals</t>
  </si>
  <si>
    <t>Construction Supplies</t>
  </si>
  <si>
    <t>Diversified</t>
  </si>
  <si>
    <t>Drugs (Biotechnology)</t>
  </si>
  <si>
    <t>Drugs (Pharmaceutical)</t>
  </si>
  <si>
    <t>Education</t>
  </si>
  <si>
    <t>Electrical Equipment</t>
  </si>
  <si>
    <t>Electronics (Consumer &amp; Office)</t>
  </si>
  <si>
    <t>Engineering/Construction</t>
  </si>
  <si>
    <t>Environmental &amp; Waste Services</t>
  </si>
  <si>
    <t>Farming/Agriculture</t>
  </si>
  <si>
    <t>Food Processing</t>
  </si>
  <si>
    <t>Food Wholesalers</t>
  </si>
  <si>
    <t>Furn/Home Furnishings</t>
  </si>
  <si>
    <t>Green &amp; Renewable Energy</t>
  </si>
  <si>
    <t>Healthcare Products</t>
  </si>
  <si>
    <t>Healthcare Support Services</t>
  </si>
  <si>
    <t>Heathcare Information and Technology</t>
  </si>
  <si>
    <t>Homebuilding</t>
  </si>
  <si>
    <t>Hospitals/Healthcare Facilities</t>
  </si>
  <si>
    <t>Hotel/Gaming</t>
  </si>
  <si>
    <t>Household Products</t>
  </si>
  <si>
    <t>Information Services</t>
  </si>
  <si>
    <t>Insurance (Life)</t>
  </si>
  <si>
    <t>Machinery</t>
  </si>
  <si>
    <t>Office Equipment &amp; Services</t>
  </si>
  <si>
    <t>Oil/Gas (Integrated)</t>
  </si>
  <si>
    <t>Oil/Gas Distribution</t>
  </si>
  <si>
    <t>Oilfield Svcs/Equip.</t>
  </si>
  <si>
    <t>Packaging &amp; Container</t>
  </si>
  <si>
    <t>Paper/Forest Products</t>
  </si>
  <si>
    <t>Power</t>
  </si>
  <si>
    <t>Precious Metals</t>
  </si>
  <si>
    <t>Publishing &amp; Newspapers</t>
  </si>
  <si>
    <t>R.E.I.T.</t>
  </si>
  <si>
    <t>Real Estate (Development)</t>
  </si>
  <si>
    <t>Real Estate (General/Diversified)</t>
  </si>
  <si>
    <t>Real Estate (Operations &amp; Services)</t>
  </si>
  <si>
    <t>Recreation</t>
  </si>
  <si>
    <t>Restaurant/Dining</t>
  </si>
  <si>
    <t>Retail (Automotive)</t>
  </si>
  <si>
    <t>Retail (Building Supply)</t>
  </si>
  <si>
    <t>Retail (Distributors)</t>
  </si>
  <si>
    <t>Retail (Grocery and Food)</t>
  </si>
  <si>
    <t>Retail (Special Lines)</t>
  </si>
  <si>
    <t>Rubber&amp; Tires</t>
  </si>
  <si>
    <t>Semiconductor</t>
  </si>
  <si>
    <t>Semiconductor Equip</t>
  </si>
  <si>
    <t>Shipbuilding &amp; Marine</t>
  </si>
  <si>
    <t>Shoe</t>
  </si>
  <si>
    <t>Software (Entertainment)</t>
  </si>
  <si>
    <t>Software (Internet)</t>
  </si>
  <si>
    <t>Software (System &amp; Application)</t>
  </si>
  <si>
    <t>Steel</t>
  </si>
  <si>
    <t>Telecom (Wireless)</t>
  </si>
  <si>
    <t>Telecom. Equipment</t>
  </si>
  <si>
    <t>Telecom. Services</t>
  </si>
  <si>
    <t>Tobacco</t>
  </si>
  <si>
    <t>Transportation</t>
  </si>
  <si>
    <t>Transportation (Railroads)</t>
  </si>
  <si>
    <t>Trucking</t>
  </si>
  <si>
    <t>Utility (General)</t>
  </si>
  <si>
    <t>Utility (Water)</t>
  </si>
  <si>
    <t>Until 2019, this worksheet had to be used for every firm with operating lease commitments, since accountants treated operating lease expenses as operating expenses. In 2019, IFRS and GAAP made the long-overdue change to treat leases as debt, and for firms that follow these standards, the conversion that I am doing on this spreadsheet is being done by accountants, with lease debt and operating income already adjusted. If that is the case, and you showed the lease debt as part of debt in the input page, please do not use this spreadsheet, since you will be double counting.</t>
  </si>
  <si>
    <t>Year of convergence for margin</t>
  </si>
  <si>
    <t>Approach 1: Detailed Cost of Capital</t>
  </si>
  <si>
    <t>Approach 2: industry average cost of capital, adjusted for riskfre rate differences</t>
  </si>
  <si>
    <t xml:space="preserve">Industry </t>
  </si>
  <si>
    <t>Cost of capital, adjusted for riskfree rate difference</t>
  </si>
  <si>
    <t>Approach 3: Uae histogram of costs of capital of all publicly traded firms</t>
  </si>
  <si>
    <t>Which grouping (US, Emerging Markets, Global)</t>
  </si>
  <si>
    <t>US</t>
  </si>
  <si>
    <t>Emerging</t>
  </si>
  <si>
    <t>Which approach will you be using?</t>
  </si>
  <si>
    <t>Cost of Capital Approach</t>
  </si>
  <si>
    <t>Detailed</t>
  </si>
  <si>
    <t>Cost of capital based upon approach =</t>
  </si>
  <si>
    <t>If direct input, enter cost of capital to use</t>
  </si>
  <si>
    <t>Cost of capital based upon decile/group chosen</t>
  </si>
  <si>
    <t>Median</t>
  </si>
  <si>
    <t>Third Quartile</t>
  </si>
  <si>
    <t xml:space="preserve">These costs of capital are all in US dollars and reflect the US dollar  riskfree rate at the start of the year. Once you make your choice, though, I will adjust the rate by the difference in riskfree rates, effectively converting currency and bringing it up to date. </t>
  </si>
  <si>
    <t>I will input</t>
  </si>
  <si>
    <t>Industry Average</t>
  </si>
  <si>
    <t>Distribution</t>
  </si>
  <si>
    <t>Do not input. Go to cost of capital sheet.</t>
  </si>
  <si>
    <t>Dilution-adjusted Black-Scholes</t>
  </si>
  <si>
    <t>The costt of capital  is in US dollars, using the riskfree rate at the start of the year. It will be adjusted for the difference in riskfree rates to make it more current and to change currencies.</t>
  </si>
  <si>
    <t>Input cell</t>
  </si>
  <si>
    <t>Calculated cell</t>
  </si>
  <si>
    <t>Tough to estimate but a key input. Use the failure rate worksheet, if necessary.</t>
  </si>
  <si>
    <t>Estimating the likelihood of failure</t>
  </si>
  <si>
    <t>Approach 1: Using a corporate bond rating</t>
  </si>
  <si>
    <t>Thus, if you use the 10-year likelihood of failure, the chance of failure for a BB rated firm is 11.78%.</t>
  </si>
  <si>
    <t>Agriculture</t>
  </si>
  <si>
    <t>Mining</t>
  </si>
  <si>
    <t>Utilities</t>
  </si>
  <si>
    <t>Construction</t>
  </si>
  <si>
    <t>Manufacturing</t>
  </si>
  <si>
    <t>Retail</t>
  </si>
  <si>
    <t>Information</t>
  </si>
  <si>
    <t>Health Care</t>
  </si>
  <si>
    <t>All Sectors</t>
  </si>
  <si>
    <t>Failure Rate given age</t>
  </si>
  <si>
    <t>Approach 2: Using corporate age (for young companies)</t>
  </si>
  <si>
    <t>Factors to consider</t>
  </si>
  <si>
    <t xml:space="preserve">1. The likelihood of failure decreases for larger firms. </t>
  </si>
  <si>
    <t>4. The likelihood of failure decreases with better unit economics, higher gross margins on the additional units sold</t>
  </si>
  <si>
    <t>Thus, if you are valuing a technology firm that is 6 years old, the chance of failure is 11.70%.</t>
  </si>
  <si>
    <t>Source; Bureau of Labor Statistics</t>
  </si>
  <si>
    <t>Survial Rate Data from Bureau of Labor Statistics (2022)</t>
  </si>
  <si>
    <t>2. The likelihood of failure decreases with access to capital, and is thus lower for publicly traded firms or firms with multiple high profile VCs</t>
  </si>
  <si>
    <t>3. The likelihood of failure decreases as revenue growth increases, since hope for future growth will sustain the firm.</t>
  </si>
  <si>
    <t>If you have negative operating income, this spreadsheet will offer you a D rating. Do not use that rating as your cost of debt for a going concern. Insread give your company a low, but going concern rating like BB and use that cost of debt.</t>
  </si>
  <si>
    <t>Most Recent year</t>
  </si>
  <si>
    <t>Annual Revenue Growth Rate</t>
  </si>
  <si>
    <t>Your forecasts</t>
  </si>
  <si>
    <t>Year 10</t>
  </si>
  <si>
    <t>Step 1: Check revenue growth rate</t>
  </si>
  <si>
    <t>Step 2: Check dollar revenues</t>
  </si>
  <si>
    <t>1. If you are forecasting a revenue growth rate &gt; industry average, is your company small?</t>
  </si>
  <si>
    <t>2. If your forecasted revenue growth rate is very different from your company's most recent year of growth, what is the reason?</t>
  </si>
  <si>
    <t>Questions to ask</t>
  </si>
  <si>
    <t>1. How big is the total market today?</t>
  </si>
  <si>
    <t>2. How much revenues do the biggest companies in that market make today?</t>
  </si>
  <si>
    <t>3. How much growth is there in the total market?</t>
  </si>
  <si>
    <t>4. What type of market share are you forecasting for your company in year 10?</t>
  </si>
  <si>
    <t>1. What are the margins of the industry that the company is in?</t>
  </si>
  <si>
    <t>2. What are the unit economics of the business? (How much does it cost you to make the extra unit that you sell?</t>
  </si>
  <si>
    <t>3. What does the competition in this business look like?</t>
  </si>
  <si>
    <t>Step 3: Check your margins</t>
  </si>
  <si>
    <t>1. is the growth that you are forecasting bounce-back growth or new growth?</t>
  </si>
  <si>
    <t>2. How much excess capacity do you have to service near term growth?</t>
  </si>
  <si>
    <t>3. Does investment efficiency in this business change as companies get bigger?</t>
  </si>
  <si>
    <t>$ Value</t>
  </si>
  <si>
    <t>As % of value</t>
  </si>
  <si>
    <t>PV of after-tax operating income for next 10 yearas</t>
  </si>
  <si>
    <t>Value effect of reinvestment for next 10 years</t>
  </si>
  <si>
    <t>PV of FCFF for next ten years</t>
  </si>
  <si>
    <t>Reinvestment effect on cash flows</t>
  </si>
  <si>
    <t>1. Is your reinvestment consitent with your revenue growth forecast?</t>
  </si>
  <si>
    <t>Return on capital effects</t>
  </si>
  <si>
    <t>Most recent year</t>
  </si>
  <si>
    <t>Marginal (1-10)</t>
  </si>
  <si>
    <t>ROC in year 10</t>
  </si>
  <si>
    <t>Stable ROC</t>
  </si>
  <si>
    <t>2. Are you comfortable with your return on capital in year 10?</t>
  </si>
  <si>
    <t>Step 4: Check how much you are reinvesting</t>
  </si>
  <si>
    <t>Step 5: Risk Metrics</t>
  </si>
  <si>
    <t>Stable Growth</t>
  </si>
  <si>
    <t>Failure Rate</t>
  </si>
  <si>
    <t>Compounded</t>
  </si>
  <si>
    <t>Year 1-5</t>
  </si>
  <si>
    <t>Step 6: Price versus Value</t>
  </si>
  <si>
    <t>Revenue growth rate (input cell B25, B27)</t>
  </si>
  <si>
    <t>Operating margin (B26, B28)</t>
  </si>
  <si>
    <t>Sales to Capital (B30-B32)</t>
  </si>
  <si>
    <t>Return on capital in perpetuity (B48, B49)</t>
  </si>
  <si>
    <t>1. How does your cost of capital compare to the industry average?</t>
  </si>
  <si>
    <t>2. What is happenign to your cost of capital over time? Why?</t>
  </si>
  <si>
    <t>3. Is your failure rate consistent with your company's characteristics?</t>
  </si>
  <si>
    <t>Note: This worksheet is the most finicky of all of the worksheets in this spreadsheet. If you start to get errors, here is a quick fix. Go into cell B12 and replace the contents with a number (say 5), and then undo your action. The spreadsheet will fix itself magically.</t>
  </si>
  <si>
    <t>Revenue Growth Rate = Last 3 years</t>
  </si>
  <si>
    <t>Pre-tax Operating Margin</t>
  </si>
  <si>
    <t>Sales to Invested Capital</t>
  </si>
  <si>
    <t>Debt to Capital Ratio</t>
  </si>
  <si>
    <t>Industry Group</t>
  </si>
  <si>
    <t>count</t>
  </si>
  <si>
    <t>First Quartlie</t>
  </si>
  <si>
    <t>Average</t>
  </si>
  <si>
    <t>Global Distribution Stats</t>
  </si>
  <si>
    <t>1st Quartile</t>
  </si>
  <si>
    <t>3rd Quartile</t>
  </si>
  <si>
    <t>Sales to capital ratio  (for years 1-5)</t>
  </si>
  <si>
    <t>Marginal sales to capital ratio  =</t>
  </si>
  <si>
    <t>Maintained at Amazon's current level</t>
  </si>
  <si>
    <t>Strong competitive edges</t>
  </si>
  <si>
    <t>I assume that reinvestment in a year translates into growth in the next year, i.e., there is a one year lag between reinvesting and generating growth from that reinvestment.</t>
  </si>
  <si>
    <t>Do you want override this assumption =</t>
  </si>
  <si>
    <t>If yes, enter a different lag (0 = no lag to 3 = lag of 3 years)</t>
  </si>
  <si>
    <t>Reinvestment lag</t>
  </si>
  <si>
    <t>Target pre-tax operating margin =</t>
  </si>
  <si>
    <t xml:space="preserve">If you want to capitalize R&amp;D, you have to input the numbers into the R&amp;D worksheet. </t>
  </si>
  <si>
    <t>If you lease or other contractual commitments that have not been converteed to debt already, say yes to this option and do the conversion.</t>
  </si>
  <si>
    <t>Revenue Growth</t>
  </si>
  <si>
    <t>Revenue</t>
  </si>
  <si>
    <t>Operating Income</t>
  </si>
  <si>
    <t>Cumulated WACC</t>
  </si>
  <si>
    <t>Growth Rate</t>
  </si>
  <si>
    <t>Growth Story</t>
  </si>
  <si>
    <t>Profitability Story</t>
  </si>
  <si>
    <t>Growth Efficiency Story</t>
  </si>
  <si>
    <t>Industry</t>
  </si>
  <si>
    <t>Base Year and Comparison</t>
  </si>
  <si>
    <t>ROIC</t>
  </si>
  <si>
    <t>You can modify this picture and bring in relevant details to back up your cost of capital and other details that you think flesh out your company's valuation story.</t>
  </si>
  <si>
    <t>Price per share</t>
  </si>
  <si>
    <t>% Under or Over Valued</t>
  </si>
  <si>
    <t>Risk Story</t>
  </si>
  <si>
    <t>Competitive Advantages</t>
  </si>
  <si>
    <t>The cost of capital  is in US dollars, using the riskfree rate at the start of the year. It will be adjusted for the difference in riskfree rates to make it more current and to change currencies.</t>
  </si>
  <si>
    <r>
      <t xml:space="preserve">There are four ways in whch you can estimate your cost of capital. In the first, you can </t>
    </r>
    <r>
      <rPr>
        <b/>
        <sz val="12"/>
        <rFont val="Times"/>
      </rPr>
      <t>directly input</t>
    </r>
    <r>
      <rPr>
        <sz val="12"/>
        <rFont val="Times"/>
      </rPr>
      <t xml:space="preserve"> a cost of captial. In the second, you can </t>
    </r>
    <r>
      <rPr>
        <b/>
        <sz val="12"/>
        <rFont val="Times"/>
      </rPr>
      <t>work through your company's cost of capital inputs in detail</t>
    </r>
    <r>
      <rPr>
        <sz val="12"/>
        <rFont val="Times"/>
      </rPr>
      <t xml:space="preserve">, entering business, geogaphical mix and debt, and I will help you estimate a cost of capital. In the third, you can look up the </t>
    </r>
    <r>
      <rPr>
        <b/>
        <sz val="12"/>
        <rFont val="Times"/>
      </rPr>
      <t>cost of capital for the industry or industries</t>
    </r>
    <r>
      <rPr>
        <sz val="12"/>
        <rFont val="Times"/>
      </rPr>
      <t xml:space="preserve"> your firm belongs to and in the fourth, you can use a </t>
    </r>
    <r>
      <rPr>
        <b/>
        <sz val="12"/>
        <rFont val="Times"/>
      </rPr>
      <t>crosssectional distribution</t>
    </r>
    <r>
      <rPr>
        <sz val="12"/>
        <rFont val="Times"/>
      </rPr>
      <t xml:space="preserve">  of costs of capital for companies at the start of the year to make your estimate.</t>
    </r>
  </si>
  <si>
    <t>Efficency of Growth Lever (first 5 years)</t>
  </si>
  <si>
    <t>Efficency of Growth Lever (years 6-10)</t>
  </si>
  <si>
    <t>Growth Lever - Next year</t>
  </si>
  <si>
    <t>Growth Lever - Long term</t>
  </si>
  <si>
    <t>Profitability Lever - Long term</t>
  </si>
  <si>
    <t>Profitability Lever - Next year</t>
  </si>
  <si>
    <t>Changes to</t>
  </si>
  <si>
    <t>Moves to</t>
  </si>
  <si>
    <t>Sales to Capital  (c )</t>
  </si>
  <si>
    <t>Retail (REITs)</t>
  </si>
  <si>
    <t>Anguilla</t>
  </si>
  <si>
    <t>Antigua &amp; Barbuda</t>
  </si>
  <si>
    <t>British Virgin Islands</t>
  </si>
  <si>
    <t>Channel Islands</t>
  </si>
  <si>
    <t>Curaçao</t>
  </si>
  <si>
    <t>Falkland Islands</t>
  </si>
  <si>
    <t>French Guiana</t>
  </si>
  <si>
    <t>Gibraltar</t>
  </si>
  <si>
    <t>Greenland</t>
  </si>
  <si>
    <t>Ivory Coast</t>
  </si>
  <si>
    <t>Macau</t>
  </si>
  <si>
    <t>Martinique</t>
  </si>
  <si>
    <t>Monaco</t>
  </si>
  <si>
    <t>Netherlands Antilles</t>
  </si>
  <si>
    <t>Palestinian Authority</t>
  </si>
  <si>
    <t>Reunion</t>
  </si>
  <si>
    <t>Saint Lucia</t>
  </si>
  <si>
    <t>South Korea</t>
  </si>
  <si>
    <t>Turks &amp; Caicos Islands</t>
  </si>
  <si>
    <t>Yemen</t>
  </si>
  <si>
    <t>Europe</t>
  </si>
  <si>
    <t>Which risk grouping does your company fall in?</t>
  </si>
  <si>
    <t>First Decile</t>
  </si>
  <si>
    <t>Ninth Decile</t>
  </si>
  <si>
    <t>First Quartile</t>
  </si>
  <si>
    <t>Last Annual</t>
  </si>
  <si>
    <t xml:space="preserve">If you are midway through a year, and want to compute updated trailing twelve month numbers, this worksheet may help. You will need your most recent quartely financials (or 10Q) as well as your most recent annual (or 10K). </t>
  </si>
  <si>
    <t>Default Spread</t>
  </si>
  <si>
    <t>CRP</t>
  </si>
  <si>
    <t>Most Recent 12 months</t>
  </si>
  <si>
    <r>
      <rPr>
        <b/>
        <sz val="12"/>
        <color theme="0"/>
        <rFont val="Helv"/>
      </rPr>
      <t>Important:</t>
    </r>
    <r>
      <rPr>
        <sz val="12"/>
        <color theme="0"/>
        <rFont val="Helv"/>
      </rPr>
      <t xml:space="preserve"> Before you run this spreadsheet, go into preferences in Excel and check under Calculation options</t>
    </r>
  </si>
  <si>
    <t>Numbers from your base year below ( in consistent units, i.e., if you enter numbers in millions, stay with millions all the way through, including on share count.</t>
  </si>
  <si>
    <t>If you don't understand an input, turn on comemnts and you should see my suggestions on that input.</t>
  </si>
  <si>
    <t>Lookup Table for Amortizable Lives</t>
  </si>
  <si>
    <t>Amortization Period</t>
  </si>
  <si>
    <t>Aluminum</t>
  </si>
  <si>
    <t>Auto Parts (OEM)</t>
  </si>
  <si>
    <t>Auto Parts (Replacement)</t>
  </si>
  <si>
    <t>Bank</t>
  </si>
  <si>
    <t>Bank (Canadian)</t>
  </si>
  <si>
    <t>Bank (Foreign)</t>
  </si>
  <si>
    <t>Bank (Midwest)</t>
  </si>
  <si>
    <t>Beverage (Soft Drink)</t>
  </si>
  <si>
    <t>Canadian Energy</t>
  </si>
  <si>
    <t>Cement &amp; Aggregates</t>
  </si>
  <si>
    <t>Coal/Alternate Energy</t>
  </si>
  <si>
    <t>Computer &amp; Peripherals</t>
  </si>
  <si>
    <t>Computer Software &amp; Svcs</t>
  </si>
  <si>
    <t>Copper</t>
  </si>
  <si>
    <t>Diversified Co.</t>
  </si>
  <si>
    <t>Drug</t>
  </si>
  <si>
    <t>Drugstore</t>
  </si>
  <si>
    <t>Educational Services</t>
  </si>
  <si>
    <t>Electric Util. (Central)</t>
  </si>
  <si>
    <t>Electric Utility (East)</t>
  </si>
  <si>
    <t>Electric Utility (West)</t>
  </si>
  <si>
    <t>Electronics</t>
  </si>
  <si>
    <t>Environmental</t>
  </si>
  <si>
    <t>Financial Services</t>
  </si>
  <si>
    <t>Foreign Electron/Entertn</t>
  </si>
  <si>
    <t>Foreign Telecom.</t>
  </si>
  <si>
    <t>Furn./Home Furnishings</t>
  </si>
  <si>
    <t>Gold/Silver Mining</t>
  </si>
  <si>
    <t>Grocery</t>
  </si>
  <si>
    <t>Healthcare Info Systems</t>
  </si>
  <si>
    <t>Home Appliance</t>
  </si>
  <si>
    <t>Industrial Services</t>
  </si>
  <si>
    <t>Insurance (Diversified)</t>
  </si>
  <si>
    <t>Insurance (Prop/Casualty)</t>
  </si>
  <si>
    <t>Internet</t>
  </si>
  <si>
    <t>Investment Co. (Domestic)</t>
  </si>
  <si>
    <t>Investment Co. (Foreign)</t>
  </si>
  <si>
    <t>Investment Co. (Income)</t>
  </si>
  <si>
    <t>Manuf. Housing/Rec Veh</t>
  </si>
  <si>
    <t>Maritime</t>
  </si>
  <si>
    <t>Medical Services</t>
  </si>
  <si>
    <t>Medical Supplies</t>
  </si>
  <si>
    <t>Metal Fabricating</t>
  </si>
  <si>
    <t>Metals &amp; Mining (Div.)</t>
  </si>
  <si>
    <t>Natural Gas (Distrib.)</t>
  </si>
  <si>
    <t>Natural Gas (Diversified)</t>
  </si>
  <si>
    <t>Newspaper</t>
  </si>
  <si>
    <t>Office Equip &amp; Supplies</t>
  </si>
  <si>
    <t>Oilfield Services/Equip.</t>
  </si>
  <si>
    <t>Paper &amp; Forest Products</t>
  </si>
  <si>
    <t>Petroleum (Integrated)</t>
  </si>
  <si>
    <t>Petroleum (Producing)</t>
  </si>
  <si>
    <t>Precision Instrument</t>
  </si>
  <si>
    <t>Publishing</t>
  </si>
  <si>
    <t>Railroad</t>
  </si>
  <si>
    <t>Restaurant</t>
  </si>
  <si>
    <t>Retail Building Supply</t>
  </si>
  <si>
    <t>Retail Store</t>
  </si>
  <si>
    <t>Securities Brokerage</t>
  </si>
  <si>
    <t>Semiconductor Cap Equip</t>
  </si>
  <si>
    <t>Steel (General)</t>
  </si>
  <si>
    <t>Steel (Integrated)</t>
  </si>
  <si>
    <t>Textile</t>
  </si>
  <si>
    <t>Thrift</t>
  </si>
  <si>
    <t>Tire &amp; Rubber</t>
  </si>
  <si>
    <t>Toiletries/Cosmetics</t>
  </si>
  <si>
    <t>Trucking/Transp. Leasing</t>
  </si>
  <si>
    <t>Utility (Foreign)</t>
  </si>
  <si>
    <t>Water Utility</t>
  </si>
  <si>
    <t>! Year -1 is the year prior to the most recent 12 months</t>
  </si>
  <si>
    <t>! Year -2 is the two years prior to the most recent 12 months</t>
  </si>
  <si>
    <t>If you get Value Errors all over, it is usually because your option worksheet has gone haywire. The fix is very low tech. Go into the option value worksheet, and in cell B17 of that worksheet (adjusted S), enter any number (say 5) and then undo what you did. Voila!</t>
  </si>
  <si>
    <t>Last 10K before LTM</t>
  </si>
  <si>
    <t xml:space="preserve">If you want a guide through this spreadsheet, try this YouTube video that takes you through each input cell: https://youtu.be/kyKfJ_7-mdg?si=FIeHhnLH2_2brag3 </t>
  </si>
  <si>
    <t>Total GDP (in $ millions)</t>
  </si>
  <si>
    <t>EMEA</t>
  </si>
  <si>
    <t>Nepal</t>
  </si>
  <si>
    <t>Trinidad &amp;' Tobago</t>
  </si>
  <si>
    <t>Eastern Europe</t>
  </si>
  <si>
    <t>Weighted Average: CRP</t>
  </si>
  <si>
    <t>Africa &amp; Mid East</t>
  </si>
  <si>
    <t>Australia, NZ &amp; Canada</t>
  </si>
  <si>
    <t>Latin America &amp; Caribbean</t>
  </si>
  <si>
    <t>Emerging Markets</t>
  </si>
  <si>
    <t>Small Asia (No India, China &amp; Japan)</t>
  </si>
  <si>
    <t>For other regional groupings</t>
  </si>
  <si>
    <t>Updated January 1, 2026</t>
  </si>
  <si>
    <t>Weighted Average: Default Spread</t>
  </si>
  <si>
    <t>Almarai</t>
  </si>
  <si>
    <t>Bank (Money Center)</t>
  </si>
  <si>
    <t>Banks (Regional)</t>
  </si>
  <si>
    <t>Brokerage &amp; Investment Banking</t>
  </si>
  <si>
    <t>Financial Svcs. (Non-bank &amp; Insurance)</t>
  </si>
  <si>
    <t>Insurance (General)</t>
  </si>
  <si>
    <t>Insurance (Prop/Cas.)</t>
  </si>
  <si>
    <t>Investments &amp; Asset Management</t>
  </si>
  <si>
    <t>Reinsurance</t>
  </si>
  <si>
    <t>Total Market</t>
  </si>
  <si>
    <t>Total Market (without financials)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</si>
</sst>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0.0000"/>
    <numFmt numFmtId="166" formatCode="0.000%"/>
    <numFmt numFmtId="167" formatCode="0.0000%"/>
    <numFmt numFmtId="168" formatCode="_(&quot;$&quot;* #,##0_);_(&quot;$&quot;* \(#,##0\);_(&quot;$&quot;* &quot;-&quot;??_);_(@_)"/>
    <numFmt numFmtId="169" formatCode="0.0000"/>
    <numFmt numFmtId="170" formatCode="_(* #,##0.0_);_(* \(#,##0.0\)_)\ ;_(* 0_)"/>
    <numFmt numFmtId="171" formatCode="_([$$-409]* #,##0.00_);_([$$-409]* \(#,##0.00\);_([$$-409]* &quot;-&quot;??_);_(@_)"/>
    <numFmt numFmtId="172" formatCode="0.0%"/>
    <numFmt numFmtId="173" formatCode="[$₩-412]#,##0.00"/>
    <numFmt numFmtId="174" formatCode="#,##0.00%"/>
    <numFmt numFmtId="175" formatCode="&quot;$&quot;#,##0"/>
  </numFmts>
  <fonts count="96">
    <font>
      <sz val="9"/>
      <name val="Geneva"/>
      <family val="2"/>
      <charset val="1"/>
    </font>
    <font>
      <sz val="12"/>
      <color theme="1"/>
      <name val="Calibri"/>
      <family val="2"/>
      <scheme val="minor"/>
    </font>
    <font>
      <i/>
      <sz val="9"/>
      <name val="Geneva"/>
      <family val="2"/>
      <charset val="1"/>
    </font>
    <font>
      <sz val="9"/>
      <name val="Geneva"/>
      <family val="2"/>
      <charset val="1"/>
    </font>
    <font>
      <sz val="8"/>
      <name val="Geneva"/>
      <family val="2"/>
      <charset val="1"/>
    </font>
    <font>
      <sz val="8"/>
      <name val="돋움"/>
      <family val="3"/>
    </font>
    <font>
      <sz val="8"/>
      <name val="Verdana"/>
      <family val="2"/>
    </font>
    <font>
      <sz val="9"/>
      <name val="Helv"/>
    </font>
    <font>
      <sz val="12"/>
      <name val="Arial"/>
      <family val="2"/>
    </font>
    <font>
      <b/>
      <i/>
      <sz val="12"/>
      <name val="Arial"/>
      <family val="2"/>
    </font>
    <font>
      <b/>
      <sz val="14"/>
      <name val="Times"/>
      <family val="1"/>
    </font>
    <font>
      <sz val="10"/>
      <name val="Times"/>
      <family val="1"/>
    </font>
    <font>
      <b/>
      <i/>
      <sz val="10"/>
      <name val="Times"/>
      <family val="1"/>
    </font>
    <font>
      <i/>
      <sz val="10"/>
      <name val="Times"/>
      <family val="1"/>
    </font>
    <font>
      <i/>
      <sz val="10"/>
      <name val="Geneva"/>
      <family val="2"/>
      <charset val="1"/>
    </font>
    <font>
      <b/>
      <sz val="10"/>
      <name val="Times"/>
      <family val="1"/>
    </font>
    <font>
      <b/>
      <sz val="12"/>
      <name val="Times"/>
      <family val="1"/>
    </font>
    <font>
      <sz val="10"/>
      <name val="Geneva"/>
      <family val="2"/>
      <charset val="1"/>
    </font>
    <font>
      <i/>
      <sz val="12"/>
      <name val="Times"/>
      <family val="1"/>
    </font>
    <font>
      <sz val="12"/>
      <name val="Times"/>
      <family val="1"/>
    </font>
    <font>
      <b/>
      <i/>
      <u/>
      <sz val="12"/>
      <name val="Times"/>
      <family val="1"/>
    </font>
    <font>
      <sz val="10"/>
      <name val="Helv"/>
    </font>
    <font>
      <i/>
      <sz val="10"/>
      <name val="Helv"/>
    </font>
    <font>
      <b/>
      <i/>
      <sz val="14"/>
      <name val="Times"/>
      <family val="1"/>
    </font>
    <font>
      <b/>
      <i/>
      <sz val="12"/>
      <name val="Times"/>
      <family val="1"/>
    </font>
    <font>
      <i/>
      <sz val="12"/>
      <name val="Geneva"/>
      <family val="2"/>
      <charset val="1"/>
    </font>
    <font>
      <b/>
      <sz val="10"/>
      <name val="Geneva"/>
      <family val="2"/>
      <charset val="1"/>
    </font>
    <font>
      <sz val="10"/>
      <name val="Arial"/>
      <family val="2"/>
    </font>
    <font>
      <i/>
      <sz val="14"/>
      <name val="Times"/>
      <family val="1"/>
    </font>
    <font>
      <sz val="8"/>
      <name val="Arial"/>
      <family val="2"/>
    </font>
    <font>
      <b/>
      <sz val="9"/>
      <name val="Geneva"/>
      <family val="2"/>
      <charset val="1"/>
    </font>
    <font>
      <i/>
      <sz val="10"/>
      <name val="Geneva"/>
      <family val="2"/>
      <charset val="1"/>
    </font>
    <font>
      <i/>
      <sz val="9"/>
      <name val="Geneva"/>
      <family val="2"/>
      <charset val="1"/>
    </font>
    <font>
      <sz val="10"/>
      <name val="Times"/>
    </font>
    <font>
      <sz val="12"/>
      <name val="Times"/>
    </font>
    <font>
      <i/>
      <sz val="14"/>
      <name val="Times"/>
    </font>
    <font>
      <b/>
      <sz val="12"/>
      <name val="Times"/>
    </font>
    <font>
      <sz val="12"/>
      <name val="Geneva"/>
      <family val="2"/>
      <charset val="1"/>
    </font>
    <font>
      <sz val="12"/>
      <name val="Helvetica"/>
      <family val="2"/>
    </font>
    <font>
      <sz val="12"/>
      <name val="Helv"/>
    </font>
    <font>
      <b/>
      <sz val="12"/>
      <name val="Helv"/>
    </font>
    <font>
      <i/>
      <sz val="12"/>
      <name val="Helv"/>
    </font>
    <font>
      <b/>
      <i/>
      <sz val="12"/>
      <name val="Helv"/>
    </font>
    <font>
      <b/>
      <i/>
      <sz val="14"/>
      <name val="Helvetica"/>
      <family val="2"/>
    </font>
    <font>
      <b/>
      <i/>
      <sz val="18"/>
      <name val="Helvetica"/>
      <family val="2"/>
    </font>
    <font>
      <b/>
      <sz val="12"/>
      <name val="Helvetica"/>
      <family val="2"/>
    </font>
    <font>
      <b/>
      <sz val="12"/>
      <name val="Arial"/>
      <family val="2"/>
    </font>
    <font>
      <i/>
      <sz val="12"/>
      <name val="Arial"/>
      <family val="2"/>
    </font>
    <font>
      <b/>
      <sz val="10"/>
      <name val="Helvetica"/>
      <family val="2"/>
    </font>
    <font>
      <b/>
      <i/>
      <sz val="10"/>
      <name val="Helvetica"/>
      <family val="2"/>
    </font>
    <font>
      <sz val="10"/>
      <name val="Helvetica"/>
      <family val="2"/>
    </font>
    <font>
      <b/>
      <i/>
      <sz val="12"/>
      <name val="Helvetica"/>
      <family val="2"/>
    </font>
    <font>
      <b/>
      <sz val="14"/>
      <name val="Helvetica"/>
      <family val="2"/>
    </font>
    <font>
      <i/>
      <sz val="12"/>
      <name val="Helvetica"/>
      <family val="2"/>
    </font>
    <font>
      <sz val="9"/>
      <name val="Helvetica"/>
      <family val="2"/>
    </font>
    <font>
      <i/>
      <sz val="10"/>
      <name val="Helvetica"/>
      <family val="2"/>
    </font>
    <font>
      <b/>
      <sz val="9"/>
      <name val="Helvetica"/>
      <family val="2"/>
    </font>
    <font>
      <sz val="12"/>
      <color rgb="FFFF0000"/>
      <name val="Times"/>
      <family val="1"/>
    </font>
    <font>
      <i/>
      <sz val="12"/>
      <color theme="1"/>
      <name val="Calibri"/>
      <family val="2"/>
      <scheme val="minor"/>
    </font>
    <font>
      <sz val="12"/>
      <name val="Calibri"/>
      <family val="2"/>
      <scheme val="minor"/>
    </font>
    <font>
      <sz val="10"/>
      <name val="Calibri"/>
      <family val="2"/>
      <scheme val="minor"/>
    </font>
    <font>
      <i/>
      <sz val="12"/>
      <color rgb="FF000000"/>
      <name val="Helvetica"/>
      <family val="2"/>
    </font>
    <font>
      <b/>
      <sz val="12"/>
      <color theme="1"/>
      <name val="Calibri"/>
      <family val="2"/>
      <scheme val="minor"/>
    </font>
    <font>
      <b/>
      <sz val="12"/>
      <color rgb="FF0A0A0A"/>
      <name val="Arial"/>
      <family val="2"/>
    </font>
    <font>
      <sz val="12"/>
      <color rgb="FF0A0A0A"/>
      <name val="Arial"/>
      <family val="2"/>
    </font>
    <font>
      <sz val="12"/>
      <color theme="1"/>
      <name val="Calibri"/>
      <family val="2"/>
      <scheme val="minor"/>
    </font>
    <font>
      <sz val="12"/>
      <color rgb="FFFF0000"/>
      <name val="Calibri"/>
      <family val="2"/>
      <scheme val="minor"/>
    </font>
    <font>
      <b/>
      <sz val="12"/>
      <color theme="1"/>
      <name val="Helv"/>
    </font>
    <font>
      <i/>
      <sz val="12"/>
      <color rgb="FFFF0000"/>
      <name val="Helv"/>
    </font>
    <font>
      <sz val="12"/>
      <color theme="1"/>
      <name val="Helv"/>
    </font>
    <font>
      <sz val="12"/>
      <color theme="1"/>
      <name val="Times Roman"/>
    </font>
    <font>
      <i/>
      <sz val="12"/>
      <color theme="1"/>
      <name val="Times Roman"/>
    </font>
    <font>
      <b/>
      <sz val="12"/>
      <color rgb="FF0A0A0A"/>
      <name val="Helvetica"/>
      <family val="2"/>
    </font>
    <font>
      <sz val="12"/>
      <color rgb="FF0A0A0A"/>
      <name val="Helvetica"/>
      <family val="2"/>
    </font>
    <font>
      <sz val="12"/>
      <color theme="0"/>
      <name val="Times"/>
      <family val="1"/>
    </font>
    <font>
      <sz val="9"/>
      <color theme="0"/>
      <name val="Geneva"/>
      <family val="2"/>
      <charset val="1"/>
    </font>
    <font>
      <i/>
      <sz val="12"/>
      <color rgb="FFFF0000"/>
      <name val="Calibri"/>
      <family val="2"/>
    </font>
    <font>
      <i/>
      <sz val="12"/>
      <color rgb="FFFF0000"/>
      <name val="Geneva"/>
      <family val="2"/>
      <charset val="1"/>
    </font>
    <font>
      <sz val="12"/>
      <color rgb="FFFF0000"/>
      <name val="Calibri"/>
      <family val="2"/>
    </font>
    <font>
      <b/>
      <i/>
      <sz val="12"/>
      <color theme="1"/>
      <name val="Calibri"/>
      <family val="2"/>
      <scheme val="minor"/>
    </font>
    <font>
      <sz val="12"/>
      <color rgb="FFFF0000"/>
      <name val="Helvetica"/>
      <family val="2"/>
    </font>
    <font>
      <b/>
      <sz val="14"/>
      <color theme="1"/>
      <name val="Times Roman"/>
    </font>
    <font>
      <sz val="12"/>
      <color theme="0"/>
      <name val="Calibri"/>
      <family val="2"/>
      <scheme val="minor"/>
    </font>
    <font>
      <sz val="12"/>
      <color theme="0"/>
      <name val="Helv"/>
    </font>
    <font>
      <b/>
      <sz val="12"/>
      <color theme="0"/>
      <name val="Helv"/>
    </font>
    <font>
      <i/>
      <sz val="9"/>
      <name val="Geneva"/>
      <family val="2"/>
    </font>
    <font>
      <sz val="9"/>
      <name val="Geneva"/>
      <family val="2"/>
    </font>
    <font>
      <sz val="12"/>
      <color theme="0"/>
      <name val="Arial"/>
      <family val="2"/>
    </font>
    <font>
      <sz val="10"/>
      <color theme="0"/>
      <name val="Helvetica"/>
      <family val="2"/>
    </font>
    <font>
      <u/>
      <sz val="9"/>
      <color theme="10"/>
      <name val="Geneva"/>
      <family val="2"/>
      <charset val="1"/>
    </font>
    <font>
      <u/>
      <sz val="12"/>
      <color theme="1"/>
      <name val="Calibri"/>
      <family val="2"/>
      <scheme val="minor"/>
    </font>
    <font>
      <i/>
      <sz val="12"/>
      <name val="Calibri"/>
      <family val="2"/>
      <scheme val="minor"/>
    </font>
    <font>
      <sz val="12"/>
      <color rgb="FF000000"/>
      <name val="Calibri"/>
      <family val="2"/>
      <scheme val="minor"/>
    </font>
    <font>
      <sz val="12"/>
      <color theme="1"/>
      <name val="Arial"/>
      <family val="2"/>
    </font>
    <font>
      <sz val="10"/>
      <color rgb="FF000000"/>
      <name val="Helvetica"/>
      <family val="2"/>
    </font>
    <font>
      <sz val="9"/>
      <color theme="1"/>
      <name val="Geneva"/>
      <family val="2"/>
      <charset val="1"/>
    </font>
  </fonts>
  <fills count="14">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rgb="FFFFFF00"/>
        <bgColor indexed="64"/>
      </patternFill>
    </fill>
    <fill>
      <patternFill patternType="solid">
        <fgColor rgb="FFCCFFCC"/>
        <bgColor indexed="64"/>
      </patternFill>
    </fill>
    <fill>
      <patternFill patternType="solid">
        <fgColor theme="0"/>
        <bgColor indexed="64"/>
      </patternFill>
    </fill>
    <fill>
      <patternFill patternType="solid">
        <fgColor theme="2"/>
        <bgColor indexed="64"/>
      </patternFill>
    </fill>
    <fill>
      <patternFill patternType="solid">
        <fgColor rgb="FFFFFF00"/>
        <bgColor rgb="FF000000"/>
      </patternFill>
    </fill>
    <fill>
      <patternFill patternType="solid">
        <fgColor theme="1"/>
        <bgColor indexed="64"/>
      </patternFill>
    </fill>
    <fill>
      <patternFill patternType="solid">
        <fgColor rgb="FFFFFFFF"/>
        <bgColor rgb="FF000000"/>
      </patternFill>
    </fill>
    <fill>
      <patternFill patternType="solid">
        <fgColor theme="0" tint="-0.14999847407452621"/>
        <bgColor indexed="64"/>
      </patternFill>
    </fill>
    <fill>
      <patternFill patternType="solid">
        <fgColor rgb="FF92D050"/>
        <bgColor indexed="64"/>
      </patternFill>
    </fill>
    <fill>
      <patternFill patternType="solid">
        <fgColor theme="2"/>
        <bgColor theme="0" tint="-0.14999847407452621"/>
      </patternFill>
    </fill>
  </fills>
  <borders count="7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1"/>
      </left>
      <right style="thin">
        <color theme="1"/>
      </right>
      <top style="thin">
        <color theme="1"/>
      </top>
      <bottom style="thin">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indexed="64"/>
      </left>
      <right style="medium">
        <color theme="1"/>
      </right>
      <top style="thin">
        <color indexed="64"/>
      </top>
      <bottom style="thin">
        <color indexed="64"/>
      </bottom>
      <diagonal/>
    </border>
    <border>
      <left style="thin">
        <color indexed="64"/>
      </left>
      <right style="medium">
        <color theme="1"/>
      </right>
      <top/>
      <bottom style="thin">
        <color indexed="64"/>
      </bottom>
      <diagonal/>
    </border>
    <border>
      <left style="thin">
        <color indexed="64"/>
      </left>
      <right style="thin">
        <color indexed="64"/>
      </right>
      <top style="thin">
        <color indexed="64"/>
      </top>
      <bottom style="medium">
        <color theme="1"/>
      </bottom>
      <diagonal/>
    </border>
    <border>
      <left style="thin">
        <color indexed="64"/>
      </left>
      <right style="medium">
        <color theme="1"/>
      </right>
      <top style="thin">
        <color indexed="64"/>
      </top>
      <bottom style="medium">
        <color theme="1"/>
      </bottom>
      <diagonal/>
    </border>
    <border>
      <left/>
      <right style="thin">
        <color indexed="64"/>
      </right>
      <top style="thin">
        <color indexed="64"/>
      </top>
      <bottom style="medium">
        <color theme="1"/>
      </bottom>
      <diagonal/>
    </border>
    <border>
      <left style="thin">
        <color theme="0"/>
      </left>
      <right style="thin">
        <color theme="0"/>
      </right>
      <top style="thin">
        <color theme="0"/>
      </top>
      <bottom style="thin">
        <color theme="0"/>
      </bottom>
      <diagonal/>
    </border>
    <border>
      <left style="medium">
        <color theme="1"/>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medium">
        <color indexed="64"/>
      </left>
      <right/>
      <top style="medium">
        <color theme="1"/>
      </top>
      <bottom style="medium">
        <color indexed="64"/>
      </bottom>
      <diagonal/>
    </border>
    <border>
      <left/>
      <right style="medium">
        <color theme="1"/>
      </right>
      <top style="medium">
        <color theme="1"/>
      </top>
      <bottom style="medium">
        <color indexed="64"/>
      </bottom>
      <diagonal/>
    </border>
    <border>
      <left style="medium">
        <color theme="1"/>
      </left>
      <right style="thin">
        <color indexed="64"/>
      </right>
      <top style="medium">
        <color indexed="64"/>
      </top>
      <bottom style="medium">
        <color indexed="64"/>
      </bottom>
      <diagonal/>
    </border>
    <border>
      <left style="medium">
        <color theme="1"/>
      </left>
      <right style="thin">
        <color indexed="64"/>
      </right>
      <top style="thin">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style="thin">
        <color indexed="64"/>
      </right>
      <top style="thin">
        <color indexed="64"/>
      </top>
      <bottom/>
      <diagonal/>
    </border>
    <border>
      <left style="thin">
        <color indexed="64"/>
      </left>
      <right style="medium">
        <color indexed="64"/>
      </right>
      <top/>
      <bottom/>
      <diagonal/>
    </border>
  </borders>
  <cellStyleXfs count="5">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89" fillId="0" borderId="0" applyNumberFormat="0" applyFill="0" applyBorder="0" applyAlignment="0" applyProtection="0"/>
  </cellStyleXfs>
  <cellXfs count="675">
    <xf numFmtId="0" fontId="0" fillId="0" borderId="0" xfId="0"/>
    <xf numFmtId="0" fontId="0" fillId="0" borderId="1" xfId="0" applyBorder="1"/>
    <xf numFmtId="0" fontId="2" fillId="0" borderId="0" xfId="0" applyFont="1"/>
    <xf numFmtId="0" fontId="7" fillId="0" borderId="0" xfId="0" applyFont="1"/>
    <xf numFmtId="0" fontId="8" fillId="0" borderId="0" xfId="0" applyFont="1"/>
    <xf numFmtId="0" fontId="10" fillId="0" borderId="0" xfId="0" applyFont="1"/>
    <xf numFmtId="0" fontId="11" fillId="0" borderId="0" xfId="0" applyFont="1"/>
    <xf numFmtId="44" fontId="11" fillId="2" borderId="1" xfId="2" applyFont="1" applyFill="1" applyBorder="1"/>
    <xf numFmtId="0" fontId="12" fillId="0" borderId="0" xfId="0" applyFont="1"/>
    <xf numFmtId="0" fontId="13" fillId="0" borderId="0" xfId="0" applyFont="1"/>
    <xf numFmtId="0" fontId="14" fillId="0" borderId="0" xfId="0" applyFont="1"/>
    <xf numFmtId="0" fontId="15" fillId="0" borderId="0" xfId="0" applyFont="1"/>
    <xf numFmtId="0" fontId="11" fillId="0" borderId="1" xfId="0" applyFont="1" applyBorder="1"/>
    <xf numFmtId="10" fontId="11" fillId="0" borderId="1" xfId="0" applyNumberFormat="1" applyFont="1" applyBorder="1"/>
    <xf numFmtId="44" fontId="11" fillId="2" borderId="1" xfId="0" applyNumberFormat="1" applyFont="1" applyFill="1" applyBorder="1"/>
    <xf numFmtId="0" fontId="10" fillId="0" borderId="0" xfId="0" applyFont="1" applyAlignment="1">
      <alignment horizontal="centerContinuous"/>
    </xf>
    <xf numFmtId="0" fontId="11" fillId="0" borderId="1" xfId="0" applyFont="1" applyBorder="1" applyAlignment="1">
      <alignment horizontal="center"/>
    </xf>
    <xf numFmtId="0" fontId="16" fillId="0" borderId="0" xfId="0" applyFont="1"/>
    <xf numFmtId="0" fontId="11" fillId="0" borderId="2" xfId="0" applyFont="1" applyBorder="1"/>
    <xf numFmtId="44" fontId="11" fillId="3" borderId="1" xfId="2" applyFont="1" applyFill="1" applyBorder="1"/>
    <xf numFmtId="44" fontId="11" fillId="0" borderId="0" xfId="2" applyFont="1" applyBorder="1"/>
    <xf numFmtId="0" fontId="11" fillId="2" borderId="1" xfId="0" applyFont="1" applyFill="1" applyBorder="1" applyAlignment="1">
      <alignment horizontal="center"/>
    </xf>
    <xf numFmtId="0" fontId="11" fillId="0" borderId="3" xfId="0" applyFont="1" applyBorder="1"/>
    <xf numFmtId="44" fontId="11" fillId="2" borderId="3" xfId="0" applyNumberFormat="1" applyFont="1" applyFill="1" applyBorder="1"/>
    <xf numFmtId="44" fontId="11" fillId="2" borderId="3" xfId="2" applyFont="1" applyFill="1" applyBorder="1"/>
    <xf numFmtId="0" fontId="11" fillId="2" borderId="2" xfId="0" applyFont="1" applyFill="1" applyBorder="1"/>
    <xf numFmtId="44" fontId="11" fillId="2" borderId="2" xfId="0" applyNumberFormat="1" applyFont="1" applyFill="1" applyBorder="1"/>
    <xf numFmtId="44" fontId="11" fillId="2" borderId="4" xfId="0" applyNumberFormat="1" applyFont="1" applyFill="1" applyBorder="1"/>
    <xf numFmtId="0" fontId="18" fillId="0" borderId="5" xfId="0" applyFont="1" applyBorder="1" applyAlignment="1">
      <alignment horizontal="center"/>
    </xf>
    <xf numFmtId="0" fontId="18" fillId="0" borderId="1" xfId="0" applyFont="1" applyBorder="1" applyAlignment="1">
      <alignment horizontal="center"/>
    </xf>
    <xf numFmtId="0" fontId="19" fillId="0" borderId="1" xfId="0" applyFont="1" applyBorder="1"/>
    <xf numFmtId="0" fontId="19" fillId="0" borderId="0" xfId="0" applyFont="1"/>
    <xf numFmtId="0" fontId="20" fillId="0" borderId="1" xfId="0" applyFont="1" applyBorder="1"/>
    <xf numFmtId="0" fontId="19" fillId="0" borderId="1" xfId="0" applyFont="1" applyBorder="1" applyAlignment="1">
      <alignment horizontal="center"/>
    </xf>
    <xf numFmtId="0" fontId="19" fillId="0" borderId="0" xfId="0" applyFont="1" applyAlignment="1">
      <alignment horizontal="center"/>
    </xf>
    <xf numFmtId="0" fontId="21" fillId="0" borderId="0" xfId="0" applyFont="1"/>
    <xf numFmtId="0" fontId="21" fillId="0" borderId="1" xfId="0" applyFont="1" applyBorder="1"/>
    <xf numFmtId="0" fontId="22" fillId="0" borderId="0" xfId="0" applyFont="1"/>
    <xf numFmtId="10" fontId="11" fillId="4" borderId="2" xfId="0" applyNumberFormat="1" applyFont="1" applyFill="1" applyBorder="1" applyAlignment="1">
      <alignment horizontal="center"/>
    </xf>
    <xf numFmtId="8" fontId="11" fillId="2" borderId="2" xfId="0" applyNumberFormat="1" applyFont="1" applyFill="1" applyBorder="1"/>
    <xf numFmtId="0" fontId="19" fillId="5" borderId="1" xfId="0" applyFont="1" applyFill="1" applyBorder="1"/>
    <xf numFmtId="10" fontId="19" fillId="5" borderId="1" xfId="3" applyNumberFormat="1" applyFont="1" applyFill="1" applyBorder="1" applyAlignment="1">
      <alignment horizontal="center"/>
    </xf>
    <xf numFmtId="10" fontId="19" fillId="5" borderId="1" xfId="0" applyNumberFormat="1" applyFont="1" applyFill="1" applyBorder="1" applyAlignment="1">
      <alignment horizontal="center"/>
    </xf>
    <xf numFmtId="44" fontId="19" fillId="5" borderId="1" xfId="2" applyFont="1" applyFill="1" applyBorder="1"/>
    <xf numFmtId="44" fontId="19" fillId="5" borderId="1" xfId="2" applyFont="1" applyFill="1" applyBorder="1" applyAlignment="1">
      <alignment horizontal="center"/>
    </xf>
    <xf numFmtId="10" fontId="19" fillId="5" borderId="1" xfId="3" applyNumberFormat="1" applyFont="1" applyFill="1" applyBorder="1"/>
    <xf numFmtId="10" fontId="19" fillId="5" borderId="1" xfId="2" applyNumberFormat="1" applyFont="1" applyFill="1" applyBorder="1"/>
    <xf numFmtId="10" fontId="19" fillId="5" borderId="1" xfId="2" applyNumberFormat="1" applyFont="1" applyFill="1" applyBorder="1" applyAlignment="1">
      <alignment horizontal="center"/>
    </xf>
    <xf numFmtId="44" fontId="19" fillId="5" borderId="1" xfId="0" applyNumberFormat="1" applyFont="1" applyFill="1" applyBorder="1" applyAlignment="1">
      <alignment horizontal="center"/>
    </xf>
    <xf numFmtId="0" fontId="19" fillId="5" borderId="1" xfId="0" applyFont="1" applyFill="1" applyBorder="1" applyAlignment="1">
      <alignment horizontal="center"/>
    </xf>
    <xf numFmtId="44" fontId="19" fillId="5" borderId="1" xfId="0" applyNumberFormat="1" applyFont="1" applyFill="1" applyBorder="1"/>
    <xf numFmtId="10" fontId="19" fillId="5" borderId="1" xfId="0" applyNumberFormat="1" applyFont="1" applyFill="1" applyBorder="1"/>
    <xf numFmtId="164" fontId="19" fillId="5" borderId="1" xfId="0" applyNumberFormat="1" applyFont="1" applyFill="1" applyBorder="1"/>
    <xf numFmtId="8" fontId="19" fillId="5" borderId="1" xfId="0" applyNumberFormat="1" applyFont="1" applyFill="1" applyBorder="1"/>
    <xf numFmtId="43" fontId="19" fillId="5" borderId="1" xfId="1" applyFont="1" applyFill="1" applyBorder="1"/>
    <xf numFmtId="44" fontId="57" fillId="5" borderId="1" xfId="2" applyFont="1" applyFill="1" applyBorder="1"/>
    <xf numFmtId="2" fontId="19" fillId="5" borderId="1" xfId="0" applyNumberFormat="1" applyFont="1" applyFill="1" applyBorder="1" applyAlignment="1">
      <alignment horizontal="center"/>
    </xf>
    <xf numFmtId="168" fontId="19" fillId="5" borderId="1" xfId="0" applyNumberFormat="1" applyFont="1" applyFill="1" applyBorder="1"/>
    <xf numFmtId="168" fontId="19" fillId="5" borderId="1" xfId="0" applyNumberFormat="1" applyFont="1" applyFill="1" applyBorder="1" applyAlignment="1">
      <alignment horizontal="center"/>
    </xf>
    <xf numFmtId="0" fontId="23" fillId="0" borderId="0" xfId="0" applyFont="1"/>
    <xf numFmtId="0" fontId="11" fillId="3" borderId="1" xfId="0" applyFont="1" applyFill="1" applyBorder="1"/>
    <xf numFmtId="0" fontId="13" fillId="0" borderId="0" xfId="0" applyFont="1" applyAlignment="1">
      <alignment horizontal="center"/>
    </xf>
    <xf numFmtId="0" fontId="13" fillId="0" borderId="1" xfId="0" applyFont="1" applyBorder="1" applyAlignment="1">
      <alignment horizontal="center"/>
    </xf>
    <xf numFmtId="2" fontId="11" fillId="5" borderId="1" xfId="0" applyNumberFormat="1" applyFont="1" applyFill="1" applyBorder="1"/>
    <xf numFmtId="44" fontId="11" fillId="5" borderId="1" xfId="0" applyNumberFormat="1" applyFont="1" applyFill="1" applyBorder="1"/>
    <xf numFmtId="44" fontId="11" fillId="5" borderId="1" xfId="2" applyFont="1" applyFill="1" applyBorder="1"/>
    <xf numFmtId="10" fontId="11" fillId="5" borderId="1" xfId="3" applyNumberFormat="1" applyFont="1" applyFill="1" applyBorder="1"/>
    <xf numFmtId="10" fontId="11" fillId="5" borderId="3" xfId="0" applyNumberFormat="1" applyFont="1" applyFill="1" applyBorder="1"/>
    <xf numFmtId="10" fontId="11" fillId="5" borderId="1" xfId="0" applyNumberFormat="1" applyFont="1" applyFill="1" applyBorder="1"/>
    <xf numFmtId="10" fontId="11" fillId="5" borderId="6" xfId="3" applyNumberFormat="1" applyFont="1" applyFill="1" applyBorder="1"/>
    <xf numFmtId="10" fontId="11" fillId="5" borderId="2" xfId="3" applyNumberFormat="1" applyFont="1" applyFill="1" applyBorder="1"/>
    <xf numFmtId="2" fontId="11" fillId="5" borderId="1" xfId="2" applyNumberFormat="1" applyFont="1" applyFill="1" applyBorder="1"/>
    <xf numFmtId="0" fontId="24" fillId="0" borderId="0" xfId="0" applyFont="1"/>
    <xf numFmtId="0" fontId="25" fillId="0" borderId="0" xfId="0" applyFont="1"/>
    <xf numFmtId="0" fontId="17" fillId="0" borderId="0" xfId="0" applyFont="1"/>
    <xf numFmtId="0" fontId="11" fillId="3" borderId="1" xfId="0" applyFont="1" applyFill="1" applyBorder="1" applyAlignment="1">
      <alignment horizontal="center"/>
    </xf>
    <xf numFmtId="0" fontId="27" fillId="0" borderId="0" xfId="0" applyFont="1"/>
    <xf numFmtId="0" fontId="7" fillId="6" borderId="0" xfId="0" applyFont="1" applyFill="1"/>
    <xf numFmtId="0" fontId="27" fillId="0" borderId="7" xfId="0" applyFont="1" applyBorder="1"/>
    <xf numFmtId="169" fontId="19" fillId="5" borderId="1" xfId="0" applyNumberFormat="1" applyFont="1" applyFill="1" applyBorder="1" applyAlignment="1">
      <alignment horizontal="center"/>
    </xf>
    <xf numFmtId="0" fontId="0" fillId="0" borderId="1" xfId="0" applyBorder="1" applyAlignment="1">
      <alignment horizontal="center"/>
    </xf>
    <xf numFmtId="0" fontId="11" fillId="4" borderId="1" xfId="0" applyFont="1" applyFill="1" applyBorder="1"/>
    <xf numFmtId="0" fontId="11" fillId="5" borderId="1" xfId="0" applyFont="1" applyFill="1" applyBorder="1"/>
    <xf numFmtId="0" fontId="12" fillId="0" borderId="1" xfId="0" applyFont="1" applyBorder="1"/>
    <xf numFmtId="167" fontId="11" fillId="5" borderId="1" xfId="3" applyNumberFormat="1" applyFont="1" applyFill="1" applyBorder="1"/>
    <xf numFmtId="167" fontId="11" fillId="5" borderId="1" xfId="0" applyNumberFormat="1" applyFont="1" applyFill="1" applyBorder="1"/>
    <xf numFmtId="171" fontId="11" fillId="4" borderId="1" xfId="2" applyNumberFormat="1" applyFont="1" applyFill="1" applyBorder="1"/>
    <xf numFmtId="169" fontId="11" fillId="5" borderId="1" xfId="0" applyNumberFormat="1" applyFont="1" applyFill="1" applyBorder="1"/>
    <xf numFmtId="171" fontId="11" fillId="5" borderId="1" xfId="0" applyNumberFormat="1" applyFont="1" applyFill="1" applyBorder="1"/>
    <xf numFmtId="0" fontId="0" fillId="5" borderId="1" xfId="0" applyFill="1" applyBorder="1"/>
    <xf numFmtId="171" fontId="3" fillId="5" borderId="1" xfId="2" applyNumberFormat="1" applyFont="1" applyFill="1" applyBorder="1"/>
    <xf numFmtId="169" fontId="0" fillId="5" borderId="1" xfId="0" applyNumberFormat="1" applyFill="1" applyBorder="1"/>
    <xf numFmtId="0" fontId="0" fillId="0" borderId="0" xfId="0" applyAlignment="1">
      <alignment horizontal="center"/>
    </xf>
    <xf numFmtId="10" fontId="0" fillId="0" borderId="1" xfId="3" applyNumberFormat="1" applyFont="1" applyBorder="1" applyAlignment="1">
      <alignment horizontal="center"/>
    </xf>
    <xf numFmtId="164" fontId="0" fillId="4" borderId="1" xfId="0" applyNumberFormat="1" applyFill="1" applyBorder="1" applyAlignment="1">
      <alignment horizontal="center"/>
    </xf>
    <xf numFmtId="2" fontId="11" fillId="0" borderId="0" xfId="0" applyNumberFormat="1" applyFont="1"/>
    <xf numFmtId="164" fontId="0" fillId="0" borderId="1" xfId="0" applyNumberFormat="1" applyBorder="1" applyAlignment="1">
      <alignment horizontal="center"/>
    </xf>
    <xf numFmtId="164" fontId="0" fillId="0" borderId="1" xfId="0" applyNumberFormat="1" applyBorder="1"/>
    <xf numFmtId="164" fontId="0" fillId="0" borderId="1" xfId="3" applyNumberFormat="1" applyFont="1" applyBorder="1" applyAlignment="1">
      <alignment horizontal="center"/>
    </xf>
    <xf numFmtId="164" fontId="0" fillId="0" borderId="0" xfId="0" applyNumberFormat="1" applyAlignment="1">
      <alignment horizontal="center"/>
    </xf>
    <xf numFmtId="164" fontId="0" fillId="0" borderId="0" xfId="0" applyNumberFormat="1"/>
    <xf numFmtId="164" fontId="2" fillId="0" borderId="0" xfId="0" applyNumberFormat="1" applyFont="1" applyAlignment="1">
      <alignment horizontal="center"/>
    </xf>
    <xf numFmtId="164" fontId="2" fillId="0" borderId="0" xfId="0" applyNumberFormat="1" applyFont="1"/>
    <xf numFmtId="10" fontId="11" fillId="4" borderId="1" xfId="0" applyNumberFormat="1" applyFont="1" applyFill="1" applyBorder="1" applyAlignment="1">
      <alignment horizontal="center"/>
    </xf>
    <xf numFmtId="10" fontId="11" fillId="5" borderId="1" xfId="0" applyNumberFormat="1" applyFont="1" applyFill="1" applyBorder="1" applyAlignment="1">
      <alignment horizontal="center"/>
    </xf>
    <xf numFmtId="166" fontId="11" fillId="3" borderId="1" xfId="0" applyNumberFormat="1" applyFont="1" applyFill="1" applyBorder="1"/>
    <xf numFmtId="9" fontId="11" fillId="5" borderId="1" xfId="0" applyNumberFormat="1" applyFont="1" applyFill="1" applyBorder="1" applyAlignment="1">
      <alignment horizontal="center"/>
    </xf>
    <xf numFmtId="0" fontId="28" fillId="0" borderId="0" xfId="0" applyFont="1"/>
    <xf numFmtId="2" fontId="11" fillId="4" borderId="1" xfId="0" applyNumberFormat="1" applyFont="1" applyFill="1" applyBorder="1"/>
    <xf numFmtId="0" fontId="23" fillId="0" borderId="0" xfId="0" applyFont="1" applyAlignment="1">
      <alignment horizontal="left"/>
    </xf>
    <xf numFmtId="164" fontId="0" fillId="5" borderId="1" xfId="0" applyNumberFormat="1" applyFill="1" applyBorder="1"/>
    <xf numFmtId="0" fontId="58" fillId="0" borderId="8" xfId="0" applyFont="1" applyBorder="1" applyAlignment="1">
      <alignment horizontal="center"/>
    </xf>
    <xf numFmtId="0" fontId="58" fillId="0" borderId="9" xfId="0" applyFont="1" applyBorder="1" applyAlignment="1">
      <alignment horizontal="center"/>
    </xf>
    <xf numFmtId="16" fontId="58" fillId="0" borderId="9" xfId="0" applyNumberFormat="1" applyFont="1" applyBorder="1" applyAlignment="1">
      <alignment horizontal="center"/>
    </xf>
    <xf numFmtId="0" fontId="58" fillId="0" borderId="10" xfId="0" applyFont="1" applyBorder="1" applyAlignment="1">
      <alignment horizontal="center"/>
    </xf>
    <xf numFmtId="0" fontId="59" fillId="0" borderId="11" xfId="0" applyFont="1" applyBorder="1"/>
    <xf numFmtId="0" fontId="59" fillId="0" borderId="12" xfId="0" applyFont="1" applyBorder="1"/>
    <xf numFmtId="10" fontId="59" fillId="0" borderId="1" xfId="0" applyNumberFormat="1" applyFont="1" applyBorder="1" applyAlignment="1">
      <alignment horizontal="center"/>
    </xf>
    <xf numFmtId="0" fontId="59" fillId="0" borderId="1" xfId="0" applyFont="1" applyBorder="1" applyAlignment="1">
      <alignment horizontal="center"/>
    </xf>
    <xf numFmtId="10" fontId="59" fillId="0" borderId="13" xfId="3" applyNumberFormat="1" applyFont="1" applyBorder="1" applyAlignment="1">
      <alignment horizontal="center"/>
    </xf>
    <xf numFmtId="0" fontId="59" fillId="0" borderId="14" xfId="0" applyFont="1" applyBorder="1"/>
    <xf numFmtId="10" fontId="59" fillId="0" borderId="15" xfId="0" applyNumberFormat="1" applyFont="1" applyBorder="1" applyAlignment="1">
      <alignment horizontal="center"/>
    </xf>
    <xf numFmtId="0" fontId="59" fillId="0" borderId="12" xfId="0" applyFont="1" applyBorder="1" applyAlignment="1">
      <alignment horizontal="center"/>
    </xf>
    <xf numFmtId="10" fontId="59" fillId="0" borderId="1" xfId="3" applyNumberFormat="1" applyFont="1" applyBorder="1" applyAlignment="1">
      <alignment horizontal="center"/>
    </xf>
    <xf numFmtId="0" fontId="59" fillId="0" borderId="14" xfId="0" applyFont="1" applyBorder="1" applyAlignment="1">
      <alignment horizontal="center"/>
    </xf>
    <xf numFmtId="10" fontId="59" fillId="0" borderId="15" xfId="3" applyNumberFormat="1" applyFont="1" applyBorder="1" applyAlignment="1">
      <alignment horizontal="center"/>
    </xf>
    <xf numFmtId="168" fontId="59" fillId="0" borderId="16" xfId="2" applyNumberFormat="1" applyFont="1" applyFill="1" applyBorder="1"/>
    <xf numFmtId="0" fontId="59" fillId="0" borderId="16" xfId="0" applyFont="1" applyBorder="1"/>
    <xf numFmtId="0" fontId="59" fillId="0" borderId="17" xfId="0" applyFont="1" applyBorder="1"/>
    <xf numFmtId="168" fontId="59" fillId="0" borderId="0" xfId="2" applyNumberFormat="1" applyFont="1" applyFill="1" applyBorder="1"/>
    <xf numFmtId="0" fontId="59" fillId="0" borderId="0" xfId="0" applyFont="1"/>
    <xf numFmtId="0" fontId="59" fillId="0" borderId="18" xfId="0" applyFont="1" applyBorder="1"/>
    <xf numFmtId="0" fontId="59" fillId="0" borderId="0" xfId="0" applyFont="1" applyAlignment="1">
      <alignment horizontal="left"/>
    </xf>
    <xf numFmtId="0" fontId="59" fillId="0" borderId="19" xfId="0" applyFont="1" applyBorder="1"/>
    <xf numFmtId="10" fontId="59" fillId="0" borderId="20" xfId="3" applyNumberFormat="1" applyFont="1" applyBorder="1" applyAlignment="1">
      <alignment horizontal="center"/>
    </xf>
    <xf numFmtId="10" fontId="59" fillId="0" borderId="3" xfId="0" applyNumberFormat="1" applyFont="1" applyBorder="1" applyAlignment="1">
      <alignment horizontal="center"/>
    </xf>
    <xf numFmtId="0" fontId="59" fillId="0" borderId="21" xfId="0" applyFont="1" applyBorder="1" applyAlignment="1">
      <alignment horizontal="center"/>
    </xf>
    <xf numFmtId="164" fontId="59" fillId="0" borderId="22" xfId="0" applyNumberFormat="1" applyFont="1" applyBorder="1" applyAlignment="1">
      <alignment horizontal="left"/>
    </xf>
    <xf numFmtId="0" fontId="29" fillId="0" borderId="1" xfId="0" applyFont="1" applyBorder="1" applyAlignment="1">
      <alignment horizontal="center"/>
    </xf>
    <xf numFmtId="0" fontId="0" fillId="4" borderId="1" xfId="0" applyFill="1" applyBorder="1"/>
    <xf numFmtId="10" fontId="11" fillId="4" borderId="1" xfId="0" applyNumberFormat="1" applyFont="1" applyFill="1" applyBorder="1"/>
    <xf numFmtId="44" fontId="3" fillId="4" borderId="1" xfId="2" applyFont="1" applyFill="1" applyBorder="1" applyAlignment="1">
      <alignment horizontal="center"/>
    </xf>
    <xf numFmtId="0" fontId="60" fillId="4" borderId="1" xfId="0" applyFont="1" applyFill="1" applyBorder="1"/>
    <xf numFmtId="170" fontId="29" fillId="0" borderId="0" xfId="0" applyNumberFormat="1" applyFont="1" applyAlignment="1">
      <alignment horizontal="right"/>
    </xf>
    <xf numFmtId="44" fontId="0" fillId="0" borderId="0" xfId="0" applyNumberFormat="1"/>
    <xf numFmtId="10" fontId="0" fillId="4" borderId="1" xfId="0" applyNumberFormat="1" applyFill="1" applyBorder="1"/>
    <xf numFmtId="0" fontId="30" fillId="0" borderId="0" xfId="0" applyFont="1"/>
    <xf numFmtId="0" fontId="27" fillId="0" borderId="0" xfId="0" applyFont="1" applyAlignment="1">
      <alignment horizontal="left"/>
    </xf>
    <xf numFmtId="0" fontId="61" fillId="0" borderId="0" xfId="0" applyFont="1"/>
    <xf numFmtId="17" fontId="62" fillId="0" borderId="1" xfId="0" applyNumberFormat="1" applyFont="1" applyBorder="1"/>
    <xf numFmtId="2" fontId="59" fillId="7" borderId="13" xfId="0" applyNumberFormat="1" applyFont="1" applyFill="1" applyBorder="1" applyAlignment="1">
      <alignment horizontal="center"/>
    </xf>
    <xf numFmtId="2" fontId="59" fillId="7" borderId="1" xfId="0" applyNumberFormat="1" applyFont="1" applyFill="1" applyBorder="1" applyAlignment="1">
      <alignment horizontal="center"/>
    </xf>
    <xf numFmtId="10" fontId="59" fillId="7" borderId="1" xfId="0" applyNumberFormat="1" applyFont="1" applyFill="1" applyBorder="1" applyAlignment="1">
      <alignment horizontal="center"/>
    </xf>
    <xf numFmtId="10" fontId="59" fillId="7" borderId="6" xfId="0" applyNumberFormat="1" applyFont="1" applyFill="1" applyBorder="1" applyAlignment="1">
      <alignment horizontal="center"/>
    </xf>
    <xf numFmtId="10" fontId="59" fillId="7" borderId="13" xfId="0" applyNumberFormat="1" applyFont="1" applyFill="1" applyBorder="1" applyAlignment="1">
      <alignment horizontal="center"/>
    </xf>
    <xf numFmtId="0" fontId="63" fillId="7" borderId="9" xfId="0" applyFont="1" applyFill="1" applyBorder="1"/>
    <xf numFmtId="0" fontId="64" fillId="7" borderId="9" xfId="0" applyFont="1" applyFill="1" applyBorder="1"/>
    <xf numFmtId="0" fontId="64" fillId="7" borderId="1" xfId="0" applyFont="1" applyFill="1" applyBorder="1"/>
    <xf numFmtId="10" fontId="64" fillId="7" borderId="1" xfId="3" applyNumberFormat="1" applyFont="1" applyFill="1" applyBorder="1"/>
    <xf numFmtId="0" fontId="58" fillId="0" borderId="23" xfId="0" applyFont="1" applyBorder="1" applyAlignment="1">
      <alignment horizontal="center"/>
    </xf>
    <xf numFmtId="173" fontId="58" fillId="0" borderId="23" xfId="0" applyNumberFormat="1" applyFont="1" applyBorder="1" applyAlignment="1">
      <alignment horizontal="center"/>
    </xf>
    <xf numFmtId="173" fontId="58" fillId="0" borderId="24" xfId="0" applyNumberFormat="1" applyFont="1" applyBorder="1" applyAlignment="1">
      <alignment horizontal="center"/>
    </xf>
    <xf numFmtId="164" fontId="59" fillId="0" borderId="1" xfId="2" applyNumberFormat="1" applyFont="1" applyBorder="1" applyAlignment="1">
      <alignment horizontal="center"/>
    </xf>
    <xf numFmtId="164" fontId="59" fillId="0" borderId="15" xfId="2" applyNumberFormat="1" applyFont="1" applyBorder="1" applyAlignment="1">
      <alignment horizontal="center"/>
    </xf>
    <xf numFmtId="164" fontId="59" fillId="0" borderId="6" xfId="2" applyNumberFormat="1" applyFont="1" applyBorder="1" applyAlignment="1">
      <alignment horizontal="center"/>
    </xf>
    <xf numFmtId="168" fontId="11" fillId="5" borderId="1" xfId="2" applyNumberFormat="1" applyFont="1" applyFill="1" applyBorder="1"/>
    <xf numFmtId="170" fontId="29" fillId="4" borderId="1" xfId="0" applyNumberFormat="1" applyFont="1" applyFill="1" applyBorder="1" applyAlignment="1">
      <alignment horizontal="right"/>
    </xf>
    <xf numFmtId="0" fontId="31" fillId="0" borderId="0" xfId="0" applyFont="1"/>
    <xf numFmtId="0" fontId="32" fillId="0" borderId="0" xfId="0" applyFont="1" applyAlignment="1">
      <alignment wrapText="1"/>
    </xf>
    <xf numFmtId="0" fontId="32" fillId="0" borderId="1" xfId="0" applyFont="1" applyBorder="1" applyAlignment="1">
      <alignment horizontal="center" wrapText="1"/>
    </xf>
    <xf numFmtId="0" fontId="58" fillId="0" borderId="1" xfId="0" applyFont="1" applyBorder="1" applyAlignment="1">
      <alignment horizontal="center"/>
    </xf>
    <xf numFmtId="172" fontId="65" fillId="0" borderId="1" xfId="3" applyNumberFormat="1" applyFont="1" applyBorder="1" applyAlignment="1">
      <alignment horizontal="center"/>
    </xf>
    <xf numFmtId="10" fontId="65" fillId="0" borderId="1" xfId="0" applyNumberFormat="1" applyFont="1" applyBorder="1" applyAlignment="1">
      <alignment horizontal="center"/>
    </xf>
    <xf numFmtId="2" fontId="65" fillId="0" borderId="1" xfId="0" applyNumberFormat="1" applyFont="1" applyBorder="1" applyAlignment="1">
      <alignment horizontal="center"/>
    </xf>
    <xf numFmtId="0" fontId="28" fillId="6" borderId="0" xfId="0" applyFont="1" applyFill="1"/>
    <xf numFmtId="0" fontId="28" fillId="6" borderId="25" xfId="0" applyFont="1" applyFill="1" applyBorder="1"/>
    <xf numFmtId="169" fontId="11" fillId="5" borderId="1" xfId="0" applyNumberFormat="1" applyFont="1" applyFill="1" applyBorder="1" applyAlignment="1">
      <alignment horizontal="center"/>
    </xf>
    <xf numFmtId="169" fontId="0" fillId="5" borderId="1" xfId="0" applyNumberFormat="1" applyFill="1" applyBorder="1" applyAlignment="1">
      <alignment horizontal="center"/>
    </xf>
    <xf numFmtId="10" fontId="11" fillId="5" borderId="1" xfId="3" applyNumberFormat="1" applyFont="1" applyFill="1" applyBorder="1" applyAlignment="1">
      <alignment horizontal="center"/>
    </xf>
    <xf numFmtId="10" fontId="3" fillId="5" borderId="1" xfId="3" applyNumberFormat="1" applyFont="1" applyFill="1" applyBorder="1" applyAlignment="1">
      <alignment horizontal="center"/>
    </xf>
    <xf numFmtId="0" fontId="11" fillId="4" borderId="3" xfId="0" applyFont="1" applyFill="1" applyBorder="1"/>
    <xf numFmtId="10" fontId="0" fillId="5" borderId="2" xfId="0" applyNumberFormat="1" applyFill="1" applyBorder="1" applyAlignment="1">
      <alignment horizontal="center"/>
    </xf>
    <xf numFmtId="0" fontId="34" fillId="0" borderId="0" xfId="0" applyFont="1" applyAlignment="1">
      <alignment horizontal="left" vertical="top" wrapText="1"/>
    </xf>
    <xf numFmtId="0" fontId="34" fillId="4" borderId="1" xfId="0" applyFont="1" applyFill="1" applyBorder="1" applyAlignment="1">
      <alignment horizontal="center" vertical="top" wrapText="1"/>
    </xf>
    <xf numFmtId="10" fontId="0" fillId="4" borderId="1" xfId="0" applyNumberFormat="1" applyFill="1" applyBorder="1" applyAlignment="1">
      <alignment horizontal="center"/>
    </xf>
    <xf numFmtId="10" fontId="34" fillId="5" borderId="1" xfId="3" applyNumberFormat="1" applyFont="1" applyFill="1" applyBorder="1" applyAlignment="1">
      <alignment horizontal="center" vertical="top" wrapText="1"/>
    </xf>
    <xf numFmtId="0" fontId="0" fillId="4" borderId="1" xfId="0" applyFill="1" applyBorder="1" applyAlignment="1">
      <alignment horizontal="center"/>
    </xf>
    <xf numFmtId="0" fontId="37" fillId="0" borderId="0" xfId="0" applyFont="1"/>
    <xf numFmtId="0" fontId="38" fillId="0" borderId="0" xfId="0" applyFont="1"/>
    <xf numFmtId="0" fontId="39" fillId="0" borderId="0" xfId="0" applyFont="1"/>
    <xf numFmtId="0" fontId="40" fillId="0" borderId="0" xfId="0" applyFont="1"/>
    <xf numFmtId="17" fontId="40" fillId="4" borderId="1" xfId="0" applyNumberFormat="1" applyFont="1" applyFill="1" applyBorder="1" applyAlignment="1">
      <alignment horizontal="center"/>
    </xf>
    <xf numFmtId="0" fontId="39" fillId="4" borderId="1" xfId="0" applyFont="1" applyFill="1" applyBorder="1"/>
    <xf numFmtId="0" fontId="41" fillId="0" borderId="1" xfId="0" applyFont="1" applyBorder="1"/>
    <xf numFmtId="0" fontId="39" fillId="0" borderId="1" xfId="0" applyFont="1" applyBorder="1"/>
    <xf numFmtId="44" fontId="39" fillId="4" borderId="1" xfId="2" applyFont="1" applyFill="1" applyBorder="1" applyAlignment="1">
      <alignment horizontal="center"/>
    </xf>
    <xf numFmtId="0" fontId="68" fillId="0" borderId="0" xfId="0" applyFont="1"/>
    <xf numFmtId="44" fontId="39" fillId="8" borderId="13" xfId="0" applyNumberFormat="1" applyFont="1" applyFill="1" applyBorder="1" applyAlignment="1">
      <alignment horizontal="center"/>
    </xf>
    <xf numFmtId="44" fontId="39" fillId="4" borderId="9" xfId="2" applyFont="1" applyFill="1" applyBorder="1" applyAlignment="1">
      <alignment horizontal="center"/>
    </xf>
    <xf numFmtId="2" fontId="39" fillId="4" borderId="9" xfId="2" applyNumberFormat="1" applyFont="1" applyFill="1" applyBorder="1" applyAlignment="1">
      <alignment horizontal="center"/>
    </xf>
    <xf numFmtId="10" fontId="39" fillId="4" borderId="1" xfId="2" applyNumberFormat="1" applyFont="1" applyFill="1" applyBorder="1" applyAlignment="1">
      <alignment horizontal="center"/>
    </xf>
    <xf numFmtId="44" fontId="39" fillId="0" borderId="0" xfId="2" applyFont="1" applyFill="1" applyBorder="1" applyAlignment="1">
      <alignment horizontal="center"/>
    </xf>
    <xf numFmtId="0" fontId="39" fillId="0" borderId="30" xfId="0" applyFont="1" applyBorder="1"/>
    <xf numFmtId="10" fontId="39" fillId="5" borderId="1" xfId="0" applyNumberFormat="1" applyFont="1" applyFill="1" applyBorder="1"/>
    <xf numFmtId="0" fontId="69" fillId="0" borderId="1" xfId="0" applyFont="1" applyBorder="1"/>
    <xf numFmtId="10" fontId="69" fillId="4" borderId="1" xfId="2" applyNumberFormat="1" applyFont="1" applyFill="1" applyBorder="1" applyAlignment="1">
      <alignment horizontal="center"/>
    </xf>
    <xf numFmtId="10" fontId="39" fillId="4" borderId="1" xfId="0" applyNumberFormat="1" applyFont="1" applyFill="1" applyBorder="1" applyAlignment="1">
      <alignment horizontal="center"/>
    </xf>
    <xf numFmtId="2" fontId="39" fillId="4" borderId="1" xfId="0" applyNumberFormat="1" applyFont="1" applyFill="1" applyBorder="1" applyAlignment="1">
      <alignment horizontal="center"/>
    </xf>
    <xf numFmtId="0" fontId="39" fillId="0" borderId="31" xfId="0" applyFont="1" applyBorder="1"/>
    <xf numFmtId="168" fontId="39" fillId="5" borderId="1" xfId="0" applyNumberFormat="1" applyFont="1" applyFill="1" applyBorder="1"/>
    <xf numFmtId="10" fontId="39" fillId="0" borderId="0" xfId="0" applyNumberFormat="1" applyFont="1"/>
    <xf numFmtId="0" fontId="39" fillId="0" borderId="32" xfId="0" applyFont="1" applyBorder="1"/>
    <xf numFmtId="10" fontId="39" fillId="6" borderId="0" xfId="0" applyNumberFormat="1" applyFont="1" applyFill="1" applyAlignment="1">
      <alignment horizontal="center"/>
    </xf>
    <xf numFmtId="2" fontId="39" fillId="0" borderId="0" xfId="0" applyNumberFormat="1" applyFont="1" applyAlignment="1">
      <alignment horizontal="center"/>
    </xf>
    <xf numFmtId="164" fontId="39" fillId="4" borderId="1" xfId="0" applyNumberFormat="1" applyFont="1" applyFill="1" applyBorder="1" applyAlignment="1">
      <alignment horizontal="center"/>
    </xf>
    <xf numFmtId="164" fontId="39" fillId="0" borderId="0" xfId="0" applyNumberFormat="1" applyFont="1" applyAlignment="1">
      <alignment horizontal="center"/>
    </xf>
    <xf numFmtId="0" fontId="41" fillId="0" borderId="0" xfId="0" applyFont="1"/>
    <xf numFmtId="10" fontId="39" fillId="0" borderId="0" xfId="0" applyNumberFormat="1" applyFont="1" applyAlignment="1">
      <alignment horizontal="center"/>
    </xf>
    <xf numFmtId="0" fontId="42" fillId="6" borderId="0" xfId="0" applyFont="1" applyFill="1"/>
    <xf numFmtId="0" fontId="41" fillId="6" borderId="0" xfId="0" applyFont="1" applyFill="1"/>
    <xf numFmtId="9" fontId="39" fillId="4" borderId="1" xfId="0" applyNumberFormat="1" applyFont="1" applyFill="1" applyBorder="1" applyAlignment="1">
      <alignment horizontal="center"/>
    </xf>
    <xf numFmtId="9" fontId="39" fillId="6" borderId="0" xfId="0" applyNumberFormat="1" applyFont="1" applyFill="1" applyAlignment="1">
      <alignment horizontal="center"/>
    </xf>
    <xf numFmtId="164" fontId="39" fillId="7" borderId="0" xfId="0" applyNumberFormat="1" applyFont="1" applyFill="1" applyAlignment="1">
      <alignment horizontal="center"/>
    </xf>
    <xf numFmtId="10" fontId="39" fillId="4" borderId="1" xfId="3" applyNumberFormat="1" applyFont="1" applyFill="1" applyBorder="1" applyAlignment="1">
      <alignment horizontal="center"/>
    </xf>
    <xf numFmtId="164" fontId="37" fillId="4" borderId="1" xfId="0" applyNumberFormat="1" applyFont="1" applyFill="1" applyBorder="1" applyAlignment="1">
      <alignment horizontal="center"/>
    </xf>
    <xf numFmtId="0" fontId="38" fillId="4" borderId="1" xfId="0" applyFont="1" applyFill="1" applyBorder="1"/>
    <xf numFmtId="0" fontId="38" fillId="5" borderId="1" xfId="0" applyFont="1" applyFill="1" applyBorder="1"/>
    <xf numFmtId="0" fontId="43" fillId="0" borderId="0" xfId="0" applyFont="1"/>
    <xf numFmtId="0" fontId="64" fillId="7" borderId="0" xfId="0" applyFont="1" applyFill="1"/>
    <xf numFmtId="0" fontId="44" fillId="0" borderId="0" xfId="0" applyFont="1"/>
    <xf numFmtId="0" fontId="70" fillId="0" borderId="0" xfId="0" applyFont="1"/>
    <xf numFmtId="0" fontId="70" fillId="0" borderId="1" xfId="0" applyFont="1" applyBorder="1"/>
    <xf numFmtId="0" fontId="71" fillId="0" borderId="1" xfId="0" applyFont="1" applyBorder="1" applyAlignment="1">
      <alignment horizontal="center"/>
    </xf>
    <xf numFmtId="10" fontId="70" fillId="7" borderId="1" xfId="0" applyNumberFormat="1" applyFont="1" applyFill="1" applyBorder="1" applyAlignment="1">
      <alignment horizontal="center"/>
    </xf>
    <xf numFmtId="10" fontId="0" fillId="0" borderId="0" xfId="0" applyNumberFormat="1"/>
    <xf numFmtId="0" fontId="70" fillId="0" borderId="1" xfId="0" applyFont="1" applyBorder="1" applyAlignment="1">
      <alignment horizontal="center"/>
    </xf>
    <xf numFmtId="0" fontId="45" fillId="0" borderId="0" xfId="0" applyFont="1"/>
    <xf numFmtId="0" fontId="70" fillId="0" borderId="0" xfId="0" applyFont="1" applyAlignment="1">
      <alignment horizontal="center"/>
    </xf>
    <xf numFmtId="10" fontId="70" fillId="0" borderId="0" xfId="0" applyNumberFormat="1" applyFont="1" applyAlignment="1">
      <alignment horizontal="center"/>
    </xf>
    <xf numFmtId="0" fontId="59" fillId="7" borderId="5" xfId="0" applyFont="1" applyFill="1" applyBorder="1" applyAlignment="1">
      <alignment horizontal="left"/>
    </xf>
    <xf numFmtId="0" fontId="59" fillId="7" borderId="5" xfId="0" applyFont="1" applyFill="1" applyBorder="1" applyAlignment="1">
      <alignment wrapText="1"/>
    </xf>
    <xf numFmtId="0" fontId="59" fillId="7" borderId="5" xfId="0" applyFont="1" applyFill="1" applyBorder="1"/>
    <xf numFmtId="0" fontId="59" fillId="7" borderId="27" xfId="0" applyFont="1" applyFill="1" applyBorder="1"/>
    <xf numFmtId="0" fontId="59" fillId="7" borderId="33" xfId="0" applyFont="1" applyFill="1" applyBorder="1"/>
    <xf numFmtId="0" fontId="8" fillId="0" borderId="0" xfId="0" applyFont="1" applyAlignment="1">
      <alignment horizontal="center"/>
    </xf>
    <xf numFmtId="0" fontId="46" fillId="0" borderId="0" xfId="0" applyFont="1" applyAlignment="1">
      <alignment horizontal="center"/>
    </xf>
    <xf numFmtId="0" fontId="8" fillId="0" borderId="1" xfId="0" applyFont="1" applyBorder="1"/>
    <xf numFmtId="0" fontId="47" fillId="0" borderId="1" xfId="0" applyFont="1" applyBorder="1" applyAlignment="1">
      <alignment horizontal="center"/>
    </xf>
    <xf numFmtId="0" fontId="45" fillId="0" borderId="7" xfId="0" applyFont="1" applyBorder="1"/>
    <xf numFmtId="0" fontId="45" fillId="0" borderId="16" xfId="0" applyFont="1" applyBorder="1" applyAlignment="1">
      <alignment horizontal="center"/>
    </xf>
    <xf numFmtId="0" fontId="8" fillId="0" borderId="16" xfId="0" applyFont="1" applyBorder="1" applyAlignment="1">
      <alignment horizontal="center"/>
    </xf>
    <xf numFmtId="0" fontId="8" fillId="0" borderId="30" xfId="0" applyFont="1" applyBorder="1"/>
    <xf numFmtId="0" fontId="47" fillId="0" borderId="0" xfId="0" applyFont="1" applyAlignment="1">
      <alignment horizontal="center"/>
    </xf>
    <xf numFmtId="0" fontId="47" fillId="0" borderId="18" xfId="0" applyFont="1" applyBorder="1" applyAlignment="1">
      <alignment horizontal="center"/>
    </xf>
    <xf numFmtId="0" fontId="8" fillId="0" borderId="17" xfId="0" applyFont="1" applyBorder="1" applyAlignment="1">
      <alignment horizontal="center"/>
    </xf>
    <xf numFmtId="0" fontId="8" fillId="0" borderId="18" xfId="0" applyFont="1" applyBorder="1" applyAlignment="1">
      <alignment horizontal="center"/>
    </xf>
    <xf numFmtId="0" fontId="46" fillId="0" borderId="7" xfId="0" applyFont="1" applyBorder="1"/>
    <xf numFmtId="0" fontId="47" fillId="0" borderId="16" xfId="0" applyFont="1" applyBorder="1" applyAlignment="1">
      <alignment horizontal="center"/>
    </xf>
    <xf numFmtId="0" fontId="47" fillId="0" borderId="17" xfId="0" applyFont="1" applyBorder="1" applyAlignment="1">
      <alignment horizontal="center"/>
    </xf>
    <xf numFmtId="0" fontId="47" fillId="0" borderId="30" xfId="0" applyFont="1" applyBorder="1"/>
    <xf numFmtId="0" fontId="8" fillId="0" borderId="1" xfId="0" applyFont="1" applyBorder="1" applyAlignment="1">
      <alignment wrapText="1"/>
    </xf>
    <xf numFmtId="0" fontId="8" fillId="0" borderId="31" xfId="0" applyFont="1" applyBorder="1" applyAlignment="1">
      <alignment horizontal="center"/>
    </xf>
    <xf numFmtId="0" fontId="8" fillId="0" borderId="32" xfId="0" applyFont="1" applyBorder="1" applyAlignment="1">
      <alignment horizontal="center"/>
    </xf>
    <xf numFmtId="10" fontId="27" fillId="7" borderId="3" xfId="0" applyNumberFormat="1" applyFont="1" applyFill="1" applyBorder="1" applyAlignment="1">
      <alignment horizontal="center"/>
    </xf>
    <xf numFmtId="0" fontId="50" fillId="6" borderId="35" xfId="0" applyFont="1" applyFill="1" applyBorder="1" applyAlignment="1">
      <alignment vertical="center"/>
    </xf>
    <xf numFmtId="0" fontId="50" fillId="6" borderId="36" xfId="0" applyFont="1" applyFill="1" applyBorder="1"/>
    <xf numFmtId="0" fontId="50" fillId="6" borderId="37" xfId="0" applyFont="1" applyFill="1" applyBorder="1"/>
    <xf numFmtId="0" fontId="27" fillId="7" borderId="19" xfId="0" applyFont="1" applyFill="1" applyBorder="1"/>
    <xf numFmtId="0" fontId="27" fillId="0" borderId="0" xfId="0" applyFont="1" applyAlignment="1">
      <alignment horizontal="center"/>
    </xf>
    <xf numFmtId="0" fontId="27" fillId="0" borderId="18" xfId="0" applyFont="1" applyBorder="1"/>
    <xf numFmtId="0" fontId="11" fillId="0" borderId="0" xfId="0" applyFont="1" applyAlignment="1">
      <alignment horizontal="center"/>
    </xf>
    <xf numFmtId="0" fontId="11" fillId="0" borderId="18" xfId="0" applyFont="1" applyBorder="1"/>
    <xf numFmtId="0" fontId="11" fillId="0" borderId="31" xfId="0" applyFont="1" applyBorder="1" applyAlignment="1">
      <alignment horizontal="center"/>
    </xf>
    <xf numFmtId="0" fontId="11" fillId="0" borderId="32" xfId="0" applyFont="1" applyBorder="1"/>
    <xf numFmtId="0" fontId="48" fillId="6" borderId="35" xfId="0" applyFont="1" applyFill="1" applyBorder="1" applyAlignment="1">
      <alignment horizontal="center" vertical="center" wrapText="1"/>
    </xf>
    <xf numFmtId="44" fontId="38" fillId="2" borderId="1" xfId="0" applyNumberFormat="1" applyFont="1" applyFill="1" applyBorder="1"/>
    <xf numFmtId="44" fontId="38" fillId="2" borderId="1" xfId="2" applyFont="1" applyFill="1" applyBorder="1"/>
    <xf numFmtId="2" fontId="38" fillId="2" borderId="1" xfId="0" applyNumberFormat="1" applyFont="1" applyFill="1" applyBorder="1"/>
    <xf numFmtId="10" fontId="38" fillId="2" borderId="1" xfId="3" applyNumberFormat="1" applyFont="1" applyFill="1" applyBorder="1"/>
    <xf numFmtId="10" fontId="38" fillId="2" borderId="1" xfId="0" applyNumberFormat="1" applyFont="1" applyFill="1" applyBorder="1"/>
    <xf numFmtId="4" fontId="38" fillId="2" borderId="1" xfId="0" applyNumberFormat="1" applyFont="1" applyFill="1" applyBorder="1"/>
    <xf numFmtId="0" fontId="51" fillId="0" borderId="0" xfId="0" applyFont="1"/>
    <xf numFmtId="0" fontId="53" fillId="0" borderId="0" xfId="0" applyFont="1"/>
    <xf numFmtId="0" fontId="38" fillId="0" borderId="1" xfId="0" applyFont="1" applyBorder="1"/>
    <xf numFmtId="44" fontId="38" fillId="5" borderId="2" xfId="2" applyFont="1" applyFill="1" applyBorder="1"/>
    <xf numFmtId="8" fontId="38" fillId="5" borderId="2" xfId="0" applyNumberFormat="1" applyFont="1" applyFill="1" applyBorder="1"/>
    <xf numFmtId="0" fontId="38" fillId="0" borderId="1" xfId="0" applyFont="1" applyBorder="1" applyAlignment="1">
      <alignment horizontal="center"/>
    </xf>
    <xf numFmtId="3" fontId="38" fillId="0" borderId="1" xfId="0" applyNumberFormat="1" applyFont="1" applyBorder="1" applyAlignment="1">
      <alignment horizontal="center"/>
    </xf>
    <xf numFmtId="10" fontId="45" fillId="0" borderId="1" xfId="0" applyNumberFormat="1" applyFont="1" applyBorder="1" applyAlignment="1">
      <alignment horizontal="center"/>
    </xf>
    <xf numFmtId="165" fontId="45" fillId="0" borderId="1" xfId="1" applyNumberFormat="1" applyFont="1" applyBorder="1" applyAlignment="1">
      <alignment horizontal="center"/>
    </xf>
    <xf numFmtId="10" fontId="38" fillId="0" borderId="1" xfId="0" applyNumberFormat="1" applyFont="1" applyBorder="1" applyAlignment="1">
      <alignment horizontal="center"/>
    </xf>
    <xf numFmtId="0" fontId="38" fillId="0" borderId="0" xfId="0" applyFont="1" applyAlignment="1">
      <alignment horizontal="center"/>
    </xf>
    <xf numFmtId="169" fontId="38" fillId="0" borderId="1" xfId="0" applyNumberFormat="1" applyFont="1" applyBorder="1" applyAlignment="1">
      <alignment horizontal="center"/>
    </xf>
    <xf numFmtId="0" fontId="45" fillId="0" borderId="6" xfId="0" applyFont="1" applyBorder="1" applyAlignment="1">
      <alignment horizontal="center"/>
    </xf>
    <xf numFmtId="0" fontId="52" fillId="0" borderId="0" xfId="0" applyFont="1"/>
    <xf numFmtId="0" fontId="54" fillId="0" borderId="0" xfId="0" applyFont="1"/>
    <xf numFmtId="0" fontId="55" fillId="0" borderId="0" xfId="0" applyFont="1"/>
    <xf numFmtId="0" fontId="50" fillId="0" borderId="0" xfId="0" applyFont="1"/>
    <xf numFmtId="10" fontId="45" fillId="0" borderId="0" xfId="0" applyNumberFormat="1" applyFont="1"/>
    <xf numFmtId="44" fontId="38" fillId="0" borderId="0" xfId="2" applyFont="1"/>
    <xf numFmtId="164" fontId="45" fillId="0" borderId="6" xfId="0" applyNumberFormat="1" applyFont="1" applyBorder="1" applyAlignment="1">
      <alignment horizontal="center"/>
    </xf>
    <xf numFmtId="0" fontId="48" fillId="0" borderId="0" xfId="0" applyFont="1"/>
    <xf numFmtId="0" fontId="72" fillId="7" borderId="9" xfId="0" applyFont="1" applyFill="1" applyBorder="1"/>
    <xf numFmtId="0" fontId="73" fillId="7" borderId="9" xfId="0" applyFont="1" applyFill="1" applyBorder="1"/>
    <xf numFmtId="0" fontId="73" fillId="7" borderId="1" xfId="0" applyFont="1" applyFill="1" applyBorder="1"/>
    <xf numFmtId="10" fontId="73" fillId="7" borderId="1" xfId="3" applyNumberFormat="1" applyFont="1" applyFill="1" applyBorder="1"/>
    <xf numFmtId="44" fontId="38" fillId="5" borderId="1" xfId="0" applyNumberFormat="1" applyFont="1" applyFill="1" applyBorder="1"/>
    <xf numFmtId="164" fontId="38" fillId="5" borderId="2" xfId="0" applyNumberFormat="1" applyFont="1" applyFill="1" applyBorder="1"/>
    <xf numFmtId="10" fontId="38" fillId="5" borderId="2" xfId="0" applyNumberFormat="1" applyFont="1" applyFill="1" applyBorder="1"/>
    <xf numFmtId="2" fontId="45" fillId="5" borderId="2" xfId="0" applyNumberFormat="1" applyFont="1" applyFill="1" applyBorder="1" applyAlignment="1">
      <alignment horizontal="center"/>
    </xf>
    <xf numFmtId="0" fontId="45" fillId="5" borderId="4" xfId="0" applyFont="1" applyFill="1" applyBorder="1" applyAlignment="1">
      <alignment horizontal="center"/>
    </xf>
    <xf numFmtId="10" fontId="45" fillId="5" borderId="2" xfId="3" applyNumberFormat="1" applyFont="1" applyFill="1" applyBorder="1" applyAlignment="1">
      <alignment horizontal="center"/>
    </xf>
    <xf numFmtId="10" fontId="45" fillId="5" borderId="2" xfId="0" applyNumberFormat="1" applyFont="1" applyFill="1" applyBorder="1" applyAlignment="1">
      <alignment horizontal="center"/>
    </xf>
    <xf numFmtId="10" fontId="45" fillId="0" borderId="0" xfId="0" applyNumberFormat="1" applyFont="1" applyAlignment="1">
      <alignment horizontal="center"/>
    </xf>
    <xf numFmtId="10" fontId="51" fillId="0" borderId="0" xfId="0" applyNumberFormat="1" applyFont="1" applyAlignment="1">
      <alignment horizontal="center"/>
    </xf>
    <xf numFmtId="0" fontId="53" fillId="0" borderId="1" xfId="0" applyFont="1" applyBorder="1" applyAlignment="1">
      <alignment horizontal="centerContinuous"/>
    </xf>
    <xf numFmtId="0" fontId="53" fillId="0" borderId="1" xfId="0" applyFont="1" applyBorder="1"/>
    <xf numFmtId="0" fontId="53" fillId="0" borderId="1" xfId="0" applyFont="1" applyBorder="1" applyAlignment="1">
      <alignment horizontal="center"/>
    </xf>
    <xf numFmtId="2" fontId="38" fillId="0" borderId="1" xfId="0" applyNumberFormat="1" applyFont="1" applyBorder="1" applyAlignment="1">
      <alignment horizontal="center"/>
    </xf>
    <xf numFmtId="0" fontId="38" fillId="0" borderId="1" xfId="0" applyFont="1" applyBorder="1" applyAlignment="1">
      <alignment horizontal="centerContinuous"/>
    </xf>
    <xf numFmtId="0" fontId="42" fillId="0" borderId="39" xfId="0" applyFont="1" applyBorder="1"/>
    <xf numFmtId="0" fontId="52" fillId="0" borderId="0" xfId="0" applyFont="1" applyAlignment="1">
      <alignment horizontal="centerContinuous"/>
    </xf>
    <xf numFmtId="0" fontId="50" fillId="3" borderId="1" xfId="0" applyFont="1" applyFill="1" applyBorder="1" applyAlignment="1">
      <alignment horizontal="center"/>
    </xf>
    <xf numFmtId="44" fontId="50" fillId="3" borderId="1" xfId="2" applyFont="1" applyFill="1" applyBorder="1"/>
    <xf numFmtId="2" fontId="54" fillId="0" borderId="1" xfId="0" applyNumberFormat="1" applyFont="1" applyBorder="1" applyAlignment="1">
      <alignment horizontal="center"/>
    </xf>
    <xf numFmtId="2" fontId="54" fillId="0" borderId="0" xfId="0" applyNumberFormat="1" applyFont="1"/>
    <xf numFmtId="2" fontId="50" fillId="0" borderId="0" xfId="0" applyNumberFormat="1" applyFont="1"/>
    <xf numFmtId="1" fontId="54" fillId="0" borderId="1" xfId="0" applyNumberFormat="1" applyFont="1" applyBorder="1" applyAlignment="1">
      <alignment horizontal="center"/>
    </xf>
    <xf numFmtId="2" fontId="56" fillId="0" borderId="0" xfId="0" applyNumberFormat="1" applyFont="1"/>
    <xf numFmtId="2" fontId="54" fillId="0" borderId="6" xfId="0" applyNumberFormat="1" applyFont="1" applyBorder="1" applyAlignment="1">
      <alignment horizontal="centerContinuous"/>
    </xf>
    <xf numFmtId="2" fontId="54" fillId="0" borderId="13" xfId="0" applyNumberFormat="1" applyFont="1" applyBorder="1" applyAlignment="1">
      <alignment horizontal="centerContinuous"/>
    </xf>
    <xf numFmtId="44" fontId="54" fillId="0" borderId="1" xfId="2" applyFont="1" applyBorder="1"/>
    <xf numFmtId="2" fontId="54" fillId="0" borderId="3" xfId="0" applyNumberFormat="1" applyFont="1" applyBorder="1" applyAlignment="1">
      <alignment horizontal="center"/>
    </xf>
    <xf numFmtId="44" fontId="54" fillId="0" borderId="3" xfId="2" applyFont="1" applyBorder="1"/>
    <xf numFmtId="44" fontId="50" fillId="0" borderId="2" xfId="2" applyFont="1" applyBorder="1"/>
    <xf numFmtId="44" fontId="54" fillId="0" borderId="0" xfId="2" applyFont="1"/>
    <xf numFmtId="44" fontId="50" fillId="0" borderId="0" xfId="2" applyFont="1"/>
    <xf numFmtId="164" fontId="50" fillId="0" borderId="40" xfId="0" applyNumberFormat="1" applyFont="1" applyBorder="1"/>
    <xf numFmtId="6" fontId="50" fillId="0" borderId="1" xfId="2" applyNumberFormat="1" applyFont="1" applyBorder="1"/>
    <xf numFmtId="0" fontId="39" fillId="0" borderId="1" xfId="0" applyFont="1" applyBorder="1" applyAlignment="1">
      <alignment vertical="center"/>
    </xf>
    <xf numFmtId="10" fontId="39" fillId="5" borderId="1" xfId="0" applyNumberFormat="1" applyFont="1" applyFill="1" applyBorder="1" applyAlignment="1">
      <alignment horizontal="center" vertical="center"/>
    </xf>
    <xf numFmtId="0" fontId="61" fillId="0" borderId="1" xfId="0" applyFont="1" applyBorder="1" applyAlignment="1">
      <alignment horizontal="center" wrapText="1"/>
    </xf>
    <xf numFmtId="0" fontId="61" fillId="0" borderId="13" xfId="0" applyFont="1" applyBorder="1" applyAlignment="1">
      <alignment horizontal="center" wrapText="1"/>
    </xf>
    <xf numFmtId="0" fontId="61" fillId="0" borderId="0" xfId="0" applyFont="1" applyAlignment="1">
      <alignment vertical="center"/>
    </xf>
    <xf numFmtId="0" fontId="41" fillId="0" borderId="1" xfId="0" applyFont="1" applyBorder="1" applyAlignment="1">
      <alignment horizontal="center"/>
    </xf>
    <xf numFmtId="10" fontId="39" fillId="5" borderId="9" xfId="3" applyNumberFormat="1" applyFont="1" applyFill="1" applyBorder="1" applyAlignment="1">
      <alignment horizontal="center"/>
    </xf>
    <xf numFmtId="10" fontId="39" fillId="5" borderId="1" xfId="3" applyNumberFormat="1" applyFont="1" applyFill="1" applyBorder="1" applyAlignment="1">
      <alignment horizontal="center"/>
    </xf>
    <xf numFmtId="2" fontId="39" fillId="5" borderId="1" xfId="0" applyNumberFormat="1" applyFont="1" applyFill="1" applyBorder="1" applyAlignment="1">
      <alignment horizontal="center"/>
    </xf>
    <xf numFmtId="44" fontId="74" fillId="9" borderId="1" xfId="2" applyFont="1" applyFill="1" applyBorder="1" applyAlignment="1">
      <alignment horizontal="center"/>
    </xf>
    <xf numFmtId="44" fontId="75" fillId="9" borderId="1" xfId="0" applyNumberFormat="1" applyFont="1" applyFill="1" applyBorder="1"/>
    <xf numFmtId="9" fontId="39" fillId="0" borderId="0" xfId="0" applyNumberFormat="1" applyFont="1" applyAlignment="1">
      <alignment horizontal="center"/>
    </xf>
    <xf numFmtId="1" fontId="39" fillId="4" borderId="1" xfId="0" applyNumberFormat="1" applyFont="1" applyFill="1" applyBorder="1" applyAlignment="1">
      <alignment horizontal="center"/>
    </xf>
    <xf numFmtId="44" fontId="19" fillId="0" borderId="0" xfId="0" applyNumberFormat="1" applyFont="1" applyAlignment="1">
      <alignment horizontal="center"/>
    </xf>
    <xf numFmtId="44" fontId="19" fillId="0" borderId="0" xfId="0" applyNumberFormat="1" applyFont="1" applyAlignment="1">
      <alignment horizontal="left"/>
    </xf>
    <xf numFmtId="0" fontId="50" fillId="0" borderId="1" xfId="0" applyFont="1" applyBorder="1"/>
    <xf numFmtId="0" fontId="50" fillId="7" borderId="1" xfId="0" applyFont="1" applyFill="1" applyBorder="1"/>
    <xf numFmtId="10" fontId="50" fillId="0" borderId="1" xfId="0" applyNumberFormat="1" applyFont="1" applyBorder="1"/>
    <xf numFmtId="0" fontId="50" fillId="0" borderId="1" xfId="0" applyFont="1" applyBorder="1" applyAlignment="1">
      <alignment horizontal="center"/>
    </xf>
    <xf numFmtId="0" fontId="50" fillId="7" borderId="1" xfId="0" applyFont="1" applyFill="1" applyBorder="1" applyAlignment="1">
      <alignment horizontal="center"/>
    </xf>
    <xf numFmtId="10" fontId="50" fillId="7" borderId="1" xfId="0" applyNumberFormat="1" applyFont="1" applyFill="1" applyBorder="1"/>
    <xf numFmtId="168" fontId="50" fillId="0" borderId="1" xfId="0" applyNumberFormat="1" applyFont="1" applyBorder="1"/>
    <xf numFmtId="168" fontId="50" fillId="7" borderId="1" xfId="0" applyNumberFormat="1" applyFont="1" applyFill="1" applyBorder="1"/>
    <xf numFmtId="169" fontId="50" fillId="0" borderId="1" xfId="0" applyNumberFormat="1" applyFont="1" applyBorder="1"/>
    <xf numFmtId="44" fontId="50" fillId="7" borderId="1" xfId="0" applyNumberFormat="1" applyFont="1" applyFill="1" applyBorder="1"/>
    <xf numFmtId="175" fontId="50" fillId="0" borderId="1" xfId="0" applyNumberFormat="1" applyFont="1" applyBorder="1"/>
    <xf numFmtId="168" fontId="50" fillId="7" borderId="41" xfId="0" applyNumberFormat="1" applyFont="1" applyFill="1" applyBorder="1"/>
    <xf numFmtId="168" fontId="50" fillId="7" borderId="34" xfId="0" applyNumberFormat="1" applyFont="1" applyFill="1" applyBorder="1"/>
    <xf numFmtId="10" fontId="50" fillId="7" borderId="34" xfId="0" applyNumberFormat="1" applyFont="1" applyFill="1" applyBorder="1"/>
    <xf numFmtId="175" fontId="50" fillId="7" borderId="34" xfId="0" applyNumberFormat="1" applyFont="1" applyFill="1" applyBorder="1"/>
    <xf numFmtId="43" fontId="50" fillId="7" borderId="34" xfId="0" applyNumberFormat="1" applyFont="1" applyFill="1" applyBorder="1"/>
    <xf numFmtId="0" fontId="50" fillId="0" borderId="9" xfId="0" applyFont="1" applyBorder="1"/>
    <xf numFmtId="2" fontId="50" fillId="7" borderId="1" xfId="0" applyNumberFormat="1" applyFont="1" applyFill="1" applyBorder="1"/>
    <xf numFmtId="164" fontId="50" fillId="7" borderId="42" xfId="0" applyNumberFormat="1" applyFont="1" applyFill="1" applyBorder="1"/>
    <xf numFmtId="164" fontId="50" fillId="7" borderId="1" xfId="0" applyNumberFormat="1" applyFont="1" applyFill="1" applyBorder="1"/>
    <xf numFmtId="10" fontId="50" fillId="7" borderId="1" xfId="3" applyNumberFormat="1" applyFont="1" applyFill="1" applyBorder="1"/>
    <xf numFmtId="164" fontId="50" fillId="0" borderId="26" xfId="0" applyNumberFormat="1" applyFont="1" applyBorder="1"/>
    <xf numFmtId="0" fontId="18" fillId="7" borderId="1" xfId="0" applyFont="1" applyFill="1" applyBorder="1" applyAlignment="1">
      <alignment horizontal="center"/>
    </xf>
    <xf numFmtId="0" fontId="0" fillId="0" borderId="0" xfId="0" applyAlignment="1">
      <alignment vertical="center"/>
    </xf>
    <xf numFmtId="10" fontId="0" fillId="0" borderId="0" xfId="3" applyNumberFormat="1" applyFont="1"/>
    <xf numFmtId="174" fontId="0" fillId="0" borderId="0" xfId="0" applyNumberFormat="1"/>
    <xf numFmtId="0" fontId="0" fillId="0" borderId="51" xfId="0" applyBorder="1"/>
    <xf numFmtId="9" fontId="0" fillId="0" borderId="51" xfId="0" applyNumberFormat="1" applyBorder="1"/>
    <xf numFmtId="10" fontId="59" fillId="7" borderId="13" xfId="0" applyNumberFormat="1" applyFont="1" applyFill="1" applyBorder="1" applyAlignment="1">
      <alignment horizontal="left"/>
    </xf>
    <xf numFmtId="0" fontId="38" fillId="12" borderId="2" xfId="0" applyFont="1" applyFill="1" applyBorder="1" applyAlignment="1">
      <alignment horizontal="center"/>
    </xf>
    <xf numFmtId="44" fontId="39" fillId="8" borderId="1" xfId="0" applyNumberFormat="1" applyFont="1" applyFill="1" applyBorder="1" applyAlignment="1">
      <alignment horizontal="center"/>
    </xf>
    <xf numFmtId="0" fontId="0" fillId="0" borderId="0" xfId="0" applyAlignment="1">
      <alignment horizontal="center" wrapText="1"/>
    </xf>
    <xf numFmtId="9" fontId="0" fillId="0" borderId="0" xfId="0" applyNumberFormat="1" applyAlignment="1">
      <alignment horizontal="center" wrapText="1"/>
    </xf>
    <xf numFmtId="0" fontId="83" fillId="9" borderId="26" xfId="0" applyFont="1" applyFill="1" applyBorder="1"/>
    <xf numFmtId="0" fontId="83" fillId="9" borderId="27" xfId="0" applyFont="1" applyFill="1" applyBorder="1"/>
    <xf numFmtId="0" fontId="83" fillId="9" borderId="20" xfId="0" applyFont="1" applyFill="1" applyBorder="1"/>
    <xf numFmtId="0" fontId="83" fillId="9" borderId="28" xfId="0" applyFont="1" applyFill="1" applyBorder="1"/>
    <xf numFmtId="0" fontId="83" fillId="9" borderId="0" xfId="0" applyFont="1" applyFill="1"/>
    <xf numFmtId="0" fontId="83" fillId="9" borderId="29" xfId="0" applyFont="1" applyFill="1" applyBorder="1"/>
    <xf numFmtId="2" fontId="39" fillId="0" borderId="1" xfId="0" applyNumberFormat="1" applyFont="1" applyBorder="1" applyAlignment="1">
      <alignment horizontal="center"/>
    </xf>
    <xf numFmtId="44" fontId="39" fillId="4" borderId="6" xfId="2" applyFont="1" applyFill="1" applyBorder="1" applyAlignment="1">
      <alignment horizontal="center"/>
    </xf>
    <xf numFmtId="0" fontId="41" fillId="0" borderId="3" xfId="0" applyFont="1" applyBorder="1"/>
    <xf numFmtId="44" fontId="68" fillId="10" borderId="13" xfId="0" applyNumberFormat="1" applyFont="1" applyFill="1" applyBorder="1" applyAlignment="1">
      <alignment horizontal="left"/>
    </xf>
    <xf numFmtId="0" fontId="67" fillId="4" borderId="3" xfId="0" applyFont="1" applyFill="1" applyBorder="1" applyAlignment="1">
      <alignment horizontal="center"/>
    </xf>
    <xf numFmtId="0" fontId="86" fillId="0" borderId="38" xfId="0" applyFont="1" applyBorder="1"/>
    <xf numFmtId="0" fontId="86" fillId="0" borderId="25" xfId="0" applyFont="1" applyBorder="1" applyAlignment="1">
      <alignment horizontal="center"/>
    </xf>
    <xf numFmtId="0" fontId="85" fillId="0" borderId="38" xfId="0" applyFont="1" applyBorder="1"/>
    <xf numFmtId="0" fontId="85" fillId="0" borderId="25" xfId="0" applyFont="1" applyBorder="1" applyAlignment="1">
      <alignment horizontal="left"/>
    </xf>
    <xf numFmtId="0" fontId="86" fillId="0" borderId="29" xfId="0" applyFont="1" applyBorder="1"/>
    <xf numFmtId="0" fontId="86" fillId="0" borderId="0" xfId="0" applyFont="1" applyAlignment="1">
      <alignment horizontal="center"/>
    </xf>
    <xf numFmtId="1" fontId="54" fillId="0" borderId="51" xfId="0" applyNumberFormat="1" applyFont="1" applyBorder="1" applyAlignment="1">
      <alignment horizontal="center"/>
    </xf>
    <xf numFmtId="2" fontId="54" fillId="3" borderId="51" xfId="0" applyNumberFormat="1" applyFont="1" applyFill="1" applyBorder="1" applyAlignment="1">
      <alignment horizontal="center"/>
    </xf>
    <xf numFmtId="0" fontId="41" fillId="0" borderId="55" xfId="0" applyFont="1" applyBorder="1"/>
    <xf numFmtId="0" fontId="39" fillId="0" borderId="56" xfId="0" applyFont="1" applyBorder="1"/>
    <xf numFmtId="0" fontId="40" fillId="0" borderId="55" xfId="0" applyFont="1" applyBorder="1"/>
    <xf numFmtId="0" fontId="41" fillId="0" borderId="63" xfId="0" applyFont="1" applyBorder="1" applyAlignment="1">
      <alignment horizontal="center"/>
    </xf>
    <xf numFmtId="0" fontId="39" fillId="0" borderId="55" xfId="0" applyFont="1" applyBorder="1"/>
    <xf numFmtId="10" fontId="39" fillId="5" borderId="64" xfId="3" applyNumberFormat="1" applyFont="1" applyFill="1" applyBorder="1" applyAlignment="1">
      <alignment horizontal="center"/>
    </xf>
    <xf numFmtId="10" fontId="39" fillId="5" borderId="63" xfId="3" applyNumberFormat="1" applyFont="1" applyFill="1" applyBorder="1" applyAlignment="1">
      <alignment horizontal="center"/>
    </xf>
    <xf numFmtId="2" fontId="39" fillId="5" borderId="63" xfId="0" applyNumberFormat="1" applyFont="1" applyFill="1" applyBorder="1" applyAlignment="1">
      <alignment horizontal="center"/>
    </xf>
    <xf numFmtId="2" fontId="39" fillId="0" borderId="56" xfId="0" applyNumberFormat="1" applyFont="1" applyBorder="1" applyAlignment="1">
      <alignment horizontal="center"/>
    </xf>
    <xf numFmtId="0" fontId="0" fillId="0" borderId="56" xfId="0" applyBorder="1"/>
    <xf numFmtId="0" fontId="39" fillId="0" borderId="57" xfId="0" applyFont="1" applyBorder="1"/>
    <xf numFmtId="0" fontId="39" fillId="0" borderId="58" xfId="0" applyFont="1" applyBorder="1"/>
    <xf numFmtId="10" fontId="39" fillId="5" borderId="65" xfId="3" applyNumberFormat="1" applyFont="1" applyFill="1" applyBorder="1" applyAlignment="1">
      <alignment horizontal="center"/>
    </xf>
    <xf numFmtId="10" fontId="39" fillId="5" borderId="66" xfId="3" applyNumberFormat="1" applyFont="1" applyFill="1" applyBorder="1" applyAlignment="1">
      <alignment horizontal="center"/>
    </xf>
    <xf numFmtId="10" fontId="39" fillId="5" borderId="67" xfId="3" applyNumberFormat="1" applyFont="1" applyFill="1" applyBorder="1" applyAlignment="1">
      <alignment horizontal="center"/>
    </xf>
    <xf numFmtId="0" fontId="41" fillId="0" borderId="13" xfId="0" applyFont="1" applyBorder="1" applyAlignment="1">
      <alignment horizontal="center"/>
    </xf>
    <xf numFmtId="10" fontId="39" fillId="5" borderId="13" xfId="0" applyNumberFormat="1" applyFont="1" applyFill="1" applyBorder="1" applyAlignment="1">
      <alignment horizontal="center"/>
    </xf>
    <xf numFmtId="10" fontId="39" fillId="5" borderId="13" xfId="3" applyNumberFormat="1" applyFont="1" applyFill="1" applyBorder="1" applyAlignment="1">
      <alignment horizontal="center"/>
    </xf>
    <xf numFmtId="2" fontId="39" fillId="5" borderId="13" xfId="0" applyNumberFormat="1" applyFont="1" applyFill="1" applyBorder="1" applyAlignment="1">
      <alignment horizontal="center"/>
    </xf>
    <xf numFmtId="2" fontId="39" fillId="0" borderId="13" xfId="0" applyNumberFormat="1" applyFont="1" applyBorder="1" applyAlignment="1">
      <alignment horizontal="center"/>
    </xf>
    <xf numFmtId="0" fontId="83" fillId="9" borderId="68" xfId="0" applyFont="1" applyFill="1" applyBorder="1" applyAlignment="1">
      <alignment horizontal="center"/>
    </xf>
    <xf numFmtId="10" fontId="83" fillId="9" borderId="68" xfId="0" applyNumberFormat="1" applyFont="1" applyFill="1" applyBorder="1" applyAlignment="1">
      <alignment horizontal="center"/>
    </xf>
    <xf numFmtId="2" fontId="83" fillId="9" borderId="68" xfId="0" applyNumberFormat="1" applyFont="1" applyFill="1" applyBorder="1" applyAlignment="1">
      <alignment horizontal="center"/>
    </xf>
    <xf numFmtId="10" fontId="83" fillId="9" borderId="68" xfId="3" applyNumberFormat="1" applyFont="1" applyFill="1" applyBorder="1" applyAlignment="1">
      <alignment horizontal="center"/>
    </xf>
    <xf numFmtId="10" fontId="83" fillId="9" borderId="68" xfId="3" applyNumberFormat="1" applyFont="1" applyFill="1" applyBorder="1"/>
    <xf numFmtId="164" fontId="82" fillId="9" borderId="68" xfId="2" applyNumberFormat="1" applyFont="1" applyFill="1" applyBorder="1"/>
    <xf numFmtId="43" fontId="82" fillId="9" borderId="68" xfId="0" applyNumberFormat="1" applyFont="1" applyFill="1" applyBorder="1"/>
    <xf numFmtId="10" fontId="50" fillId="0" borderId="0" xfId="0" applyNumberFormat="1" applyFont="1"/>
    <xf numFmtId="0" fontId="50" fillId="0" borderId="55" xfId="0" applyFont="1" applyBorder="1"/>
    <xf numFmtId="0" fontId="50" fillId="0" borderId="56" xfId="0" applyFont="1" applyBorder="1"/>
    <xf numFmtId="0" fontId="50" fillId="0" borderId="75" xfId="0" applyFont="1" applyBorder="1"/>
    <xf numFmtId="10" fontId="50" fillId="0" borderId="63" xfId="0" applyNumberFormat="1" applyFont="1" applyBorder="1"/>
    <xf numFmtId="10" fontId="50" fillId="0" borderId="56" xfId="0" applyNumberFormat="1" applyFont="1" applyBorder="1"/>
    <xf numFmtId="44" fontId="50" fillId="7" borderId="76" xfId="0" applyNumberFormat="1" applyFont="1" applyFill="1" applyBorder="1"/>
    <xf numFmtId="0" fontId="50" fillId="0" borderId="56" xfId="0" applyFont="1" applyBorder="1" applyAlignment="1">
      <alignment horizontal="center"/>
    </xf>
    <xf numFmtId="0" fontId="50" fillId="7" borderId="75" xfId="0" applyFont="1" applyFill="1" applyBorder="1"/>
    <xf numFmtId="10" fontId="50" fillId="7" borderId="75" xfId="0" applyNumberFormat="1" applyFont="1" applyFill="1" applyBorder="1"/>
    <xf numFmtId="43" fontId="50" fillId="7" borderId="75" xfId="0" applyNumberFormat="1" applyFont="1" applyFill="1" applyBorder="1"/>
    <xf numFmtId="0" fontId="50" fillId="7" borderId="77" xfId="0" applyFont="1" applyFill="1" applyBorder="1"/>
    <xf numFmtId="0" fontId="50" fillId="0" borderId="77" xfId="0" applyFont="1" applyBorder="1"/>
    <xf numFmtId="0" fontId="50" fillId="0" borderId="57" xfId="0" applyFont="1" applyBorder="1"/>
    <xf numFmtId="0" fontId="50" fillId="0" borderId="58" xfId="0" applyFont="1" applyBorder="1"/>
    <xf numFmtId="0" fontId="50" fillId="0" borderId="59" xfId="0" applyFont="1" applyBorder="1"/>
    <xf numFmtId="0" fontId="87" fillId="9" borderId="68" xfId="0" applyFont="1" applyFill="1" applyBorder="1"/>
    <xf numFmtId="44" fontId="87" fillId="9" borderId="68" xfId="0" applyNumberFormat="1" applyFont="1" applyFill="1" applyBorder="1" applyAlignment="1">
      <alignment horizontal="center"/>
    </xf>
    <xf numFmtId="10" fontId="87" fillId="9" borderId="68" xfId="0" applyNumberFormat="1" applyFont="1" applyFill="1" applyBorder="1" applyAlignment="1">
      <alignment horizontal="center"/>
    </xf>
    <xf numFmtId="2" fontId="87" fillId="9" borderId="68" xfId="0" applyNumberFormat="1" applyFont="1" applyFill="1" applyBorder="1" applyAlignment="1">
      <alignment horizontal="center"/>
    </xf>
    <xf numFmtId="164" fontId="8" fillId="0" borderId="3" xfId="0" applyNumberFormat="1" applyFont="1" applyBorder="1" applyAlignment="1">
      <alignment horizontal="center"/>
    </xf>
    <xf numFmtId="10" fontId="8" fillId="0" borderId="3" xfId="3" applyNumberFormat="1" applyFont="1" applyBorder="1" applyAlignment="1">
      <alignment horizontal="center"/>
    </xf>
    <xf numFmtId="164" fontId="8" fillId="0" borderId="9" xfId="0" applyNumberFormat="1" applyFont="1" applyBorder="1" applyAlignment="1">
      <alignment horizontal="center"/>
    </xf>
    <xf numFmtId="10" fontId="8" fillId="0" borderId="9" xfId="0" applyNumberFormat="1" applyFont="1" applyBorder="1" applyAlignment="1">
      <alignment horizontal="center"/>
    </xf>
    <xf numFmtId="164" fontId="87" fillId="9" borderId="68" xfId="0" applyNumberFormat="1" applyFont="1" applyFill="1" applyBorder="1" applyAlignment="1">
      <alignment horizontal="center"/>
    </xf>
    <xf numFmtId="10" fontId="87" fillId="9" borderId="68" xfId="3" applyNumberFormat="1" applyFont="1" applyFill="1" applyBorder="1" applyAlignment="1">
      <alignment horizontal="center"/>
    </xf>
    <xf numFmtId="0" fontId="49" fillId="6" borderId="48" xfId="0" applyFont="1" applyFill="1" applyBorder="1" applyAlignment="1">
      <alignment horizontal="center" vertical="center" wrapText="1"/>
    </xf>
    <xf numFmtId="0" fontId="49" fillId="6" borderId="78" xfId="0" applyFont="1" applyFill="1" applyBorder="1" applyAlignment="1">
      <alignment horizontal="center" vertical="center" wrapText="1"/>
    </xf>
    <xf numFmtId="0" fontId="88" fillId="9" borderId="68" xfId="0" applyFont="1" applyFill="1" applyBorder="1" applyAlignment="1">
      <alignment horizontal="left" vertical="top" wrapText="1"/>
    </xf>
    <xf numFmtId="9" fontId="88" fillId="9" borderId="68" xfId="3" applyFont="1" applyFill="1" applyBorder="1" applyAlignment="1">
      <alignment horizontal="left" vertical="top" wrapText="1"/>
    </xf>
    <xf numFmtId="10" fontId="88" fillId="9" borderId="68" xfId="3" applyNumberFormat="1" applyFont="1" applyFill="1" applyBorder="1" applyAlignment="1">
      <alignment horizontal="left" vertical="top" wrapText="1"/>
    </xf>
    <xf numFmtId="10" fontId="0" fillId="0" borderId="1" xfId="0" applyNumberFormat="1" applyBorder="1" applyAlignment="1">
      <alignment horizontal="center"/>
    </xf>
    <xf numFmtId="0" fontId="32" fillId="0" borderId="1" xfId="0" applyFont="1" applyBorder="1" applyAlignment="1">
      <alignment horizontal="center"/>
    </xf>
    <xf numFmtId="175" fontId="0" fillId="0" borderId="1" xfId="0" applyNumberFormat="1" applyBorder="1" applyAlignment="1">
      <alignment horizontal="center"/>
    </xf>
    <xf numFmtId="0" fontId="85" fillId="0" borderId="1" xfId="0" applyFont="1" applyBorder="1" applyAlignment="1">
      <alignment wrapText="1"/>
    </xf>
    <xf numFmtId="0" fontId="85" fillId="0" borderId="1" xfId="0" applyFont="1" applyBorder="1" applyAlignment="1">
      <alignment horizontal="center" wrapText="1"/>
    </xf>
    <xf numFmtId="10" fontId="85" fillId="0" borderId="1" xfId="0" applyNumberFormat="1" applyFont="1" applyBorder="1" applyAlignment="1">
      <alignment horizontal="center" wrapText="1"/>
    </xf>
    <xf numFmtId="2" fontId="85" fillId="0" borderId="1" xfId="0" applyNumberFormat="1" applyFont="1" applyBorder="1" applyAlignment="1">
      <alignment horizontal="center" wrapText="1"/>
    </xf>
    <xf numFmtId="0" fontId="31" fillId="0" borderId="0" xfId="0" applyFont="1" applyAlignment="1">
      <alignment horizontal="center"/>
    </xf>
    <xf numFmtId="0" fontId="91" fillId="7" borderId="1" xfId="0" applyFont="1" applyFill="1" applyBorder="1" applyAlignment="1">
      <alignment horizontal="center"/>
    </xf>
    <xf numFmtId="10" fontId="92" fillId="0" borderId="1" xfId="0" applyNumberFormat="1" applyFont="1" applyBorder="1" applyAlignment="1">
      <alignment horizontal="center"/>
    </xf>
    <xf numFmtId="0" fontId="18" fillId="7" borderId="51" xfId="0" applyFont="1" applyFill="1" applyBorder="1"/>
    <xf numFmtId="0" fontId="19" fillId="7" borderId="51" xfId="0" applyFont="1" applyFill="1" applyBorder="1"/>
    <xf numFmtId="0" fontId="93" fillId="0" borderId="51" xfId="0" applyFont="1" applyBorder="1" applyAlignment="1">
      <alignment horizontal="left"/>
    </xf>
    <xf numFmtId="0" fontId="0" fillId="0" borderId="51" xfId="0" applyBorder="1" applyAlignment="1">
      <alignment horizontal="left"/>
    </xf>
    <xf numFmtId="0" fontId="19" fillId="7" borderId="51" xfId="0" applyFont="1" applyFill="1" applyBorder="1" applyAlignment="1">
      <alignment horizontal="center"/>
    </xf>
    <xf numFmtId="0" fontId="0" fillId="0" borderId="51" xfId="0" applyBorder="1" applyAlignment="1">
      <alignment horizontal="center"/>
    </xf>
    <xf numFmtId="0" fontId="2" fillId="0" borderId="1" xfId="0" applyFont="1" applyBorder="1" applyAlignment="1">
      <alignment horizontal="center"/>
    </xf>
    <xf numFmtId="10" fontId="94" fillId="0" borderId="1" xfId="3" applyNumberFormat="1" applyFont="1" applyBorder="1" applyAlignment="1">
      <alignment horizontal="center"/>
    </xf>
    <xf numFmtId="10" fontId="27" fillId="0" borderId="0" xfId="0" applyNumberFormat="1" applyFont="1" applyAlignment="1">
      <alignment horizontal="center"/>
    </xf>
    <xf numFmtId="2" fontId="27" fillId="0" borderId="0" xfId="0" applyNumberFormat="1" applyFont="1" applyAlignment="1">
      <alignment horizontal="center"/>
    </xf>
    <xf numFmtId="10" fontId="29" fillId="0" borderId="0" xfId="0" applyNumberFormat="1" applyFont="1" applyAlignment="1">
      <alignment horizontal="center"/>
    </xf>
    <xf numFmtId="167" fontId="0" fillId="0" borderId="0" xfId="0" applyNumberFormat="1"/>
    <xf numFmtId="0" fontId="1" fillId="13" borderId="51" xfId="0" applyFont="1" applyFill="1" applyBorder="1"/>
    <xf numFmtId="0" fontId="1" fillId="7" borderId="51" xfId="0" applyFont="1" applyFill="1" applyBorder="1"/>
    <xf numFmtId="0" fontId="18" fillId="7" borderId="51" xfId="0" applyFont="1" applyFill="1" applyBorder="1" applyAlignment="1">
      <alignment horizontal="center"/>
    </xf>
    <xf numFmtId="10" fontId="0" fillId="0" borderId="51" xfId="0" applyNumberFormat="1" applyBorder="1" applyAlignment="1">
      <alignment horizontal="center"/>
    </xf>
    <xf numFmtId="10" fontId="0" fillId="0" borderId="51" xfId="3" applyNumberFormat="1" applyFont="1" applyBorder="1" applyAlignment="1">
      <alignment horizontal="center"/>
    </xf>
    <xf numFmtId="0" fontId="2" fillId="0" borderId="1" xfId="0" applyFont="1" applyBorder="1"/>
    <xf numFmtId="10" fontId="95" fillId="0" borderId="1" xfId="3" applyNumberFormat="1" applyFont="1" applyBorder="1" applyAlignment="1">
      <alignment horizontal="center"/>
    </xf>
    <xf numFmtId="0" fontId="61" fillId="0" borderId="0" xfId="0" applyFont="1" applyAlignment="1">
      <alignment horizontal="center"/>
    </xf>
    <xf numFmtId="10" fontId="60" fillId="0" borderId="38" xfId="3" applyNumberFormat="1" applyFont="1" applyBorder="1" applyAlignment="1">
      <alignment horizontal="center"/>
    </xf>
    <xf numFmtId="10" fontId="0" fillId="0" borderId="0" xfId="3" applyNumberFormat="1" applyFont="1" applyAlignment="1">
      <alignment horizontal="center"/>
    </xf>
    <xf numFmtId="0" fontId="0" fillId="7" borderId="51" xfId="0" applyFill="1" applyBorder="1"/>
    <xf numFmtId="0" fontId="0" fillId="7" borderId="51" xfId="0" applyFill="1" applyBorder="1" applyAlignment="1">
      <alignment horizontal="center" wrapText="1"/>
    </xf>
    <xf numFmtId="9" fontId="0" fillId="7" borderId="51" xfId="0" applyNumberFormat="1" applyFill="1" applyBorder="1" applyAlignment="1">
      <alignment horizontal="center" wrapText="1"/>
    </xf>
    <xf numFmtId="10" fontId="0" fillId="7" borderId="51" xfId="3" applyNumberFormat="1" applyFont="1" applyFill="1" applyBorder="1" applyAlignment="1">
      <alignment horizontal="center"/>
    </xf>
    <xf numFmtId="0" fontId="2" fillId="0" borderId="0" xfId="0" applyFont="1" applyAlignment="1">
      <alignment horizontal="center"/>
    </xf>
    <xf numFmtId="0" fontId="42" fillId="0" borderId="0" xfId="0" applyFont="1"/>
    <xf numFmtId="0" fontId="40" fillId="7" borderId="60" xfId="0" applyFont="1" applyFill="1" applyBorder="1" applyAlignment="1">
      <alignment horizontal="center"/>
    </xf>
    <xf numFmtId="0" fontId="40" fillId="7" borderId="61" xfId="0" applyFont="1" applyFill="1" applyBorder="1" applyAlignment="1">
      <alignment horizontal="center"/>
    </xf>
    <xf numFmtId="0" fontId="40" fillId="7" borderId="62" xfId="0" applyFont="1" applyFill="1" applyBorder="1" applyAlignment="1">
      <alignment horizontal="center"/>
    </xf>
    <xf numFmtId="0" fontId="40" fillId="0" borderId="7" xfId="0" applyFont="1" applyBorder="1" applyAlignment="1">
      <alignment horizontal="left"/>
    </xf>
    <xf numFmtId="0" fontId="40" fillId="0" borderId="16" xfId="0" applyFont="1" applyBorder="1" applyAlignment="1">
      <alignment horizontal="left"/>
    </xf>
    <xf numFmtId="0" fontId="40" fillId="0" borderId="17" xfId="0" applyFont="1" applyBorder="1" applyAlignment="1">
      <alignment horizontal="left"/>
    </xf>
    <xf numFmtId="0" fontId="68" fillId="0" borderId="28" xfId="0" applyFont="1" applyBorder="1" applyAlignment="1">
      <alignment horizontal="center" wrapText="1"/>
    </xf>
    <xf numFmtId="0" fontId="68" fillId="0" borderId="18" xfId="0" applyFont="1" applyBorder="1" applyAlignment="1">
      <alignment horizontal="center" wrapText="1"/>
    </xf>
    <xf numFmtId="0" fontId="41" fillId="0" borderId="1" xfId="0" applyFont="1" applyBorder="1" applyAlignment="1">
      <alignment horizontal="center"/>
    </xf>
    <xf numFmtId="0" fontId="41" fillId="0" borderId="63" xfId="0" applyFont="1" applyBorder="1" applyAlignment="1">
      <alignment horizontal="center"/>
    </xf>
    <xf numFmtId="0" fontId="40" fillId="0" borderId="52" xfId="0" applyFont="1" applyBorder="1" applyAlignment="1">
      <alignment horizontal="center"/>
    </xf>
    <xf numFmtId="0" fontId="40" fillId="0" borderId="53" xfId="0" applyFont="1" applyBorder="1" applyAlignment="1">
      <alignment horizontal="center"/>
    </xf>
    <xf numFmtId="0" fontId="40" fillId="0" borderId="54" xfId="0" applyFont="1" applyBorder="1" applyAlignment="1">
      <alignment horizontal="center"/>
    </xf>
    <xf numFmtId="2" fontId="39" fillId="4" borderId="51" xfId="0" applyNumberFormat="1" applyFont="1" applyFill="1" applyBorder="1" applyAlignment="1">
      <alignment horizontal="center" vertical="center"/>
    </xf>
    <xf numFmtId="0" fontId="90" fillId="7" borderId="7" xfId="4" applyFont="1" applyFill="1" applyBorder="1" applyAlignment="1">
      <alignment horizontal="left" vertical="top" wrapText="1"/>
    </xf>
    <xf numFmtId="0" fontId="90" fillId="7" borderId="16" xfId="4" applyFont="1" applyFill="1" applyBorder="1" applyAlignment="1">
      <alignment horizontal="left" vertical="top" wrapText="1"/>
    </xf>
    <xf numFmtId="0" fontId="90" fillId="7" borderId="17" xfId="4" applyFont="1" applyFill="1" applyBorder="1" applyAlignment="1">
      <alignment horizontal="left" vertical="top" wrapText="1"/>
    </xf>
    <xf numFmtId="0" fontId="90" fillId="7" borderId="30" xfId="4" applyFont="1" applyFill="1" applyBorder="1" applyAlignment="1">
      <alignment horizontal="left" vertical="top" wrapText="1"/>
    </xf>
    <xf numFmtId="0" fontId="90" fillId="7" borderId="0" xfId="4" applyFont="1" applyFill="1" applyBorder="1" applyAlignment="1">
      <alignment horizontal="left" vertical="top" wrapText="1"/>
    </xf>
    <xf numFmtId="0" fontId="90" fillId="7" borderId="18" xfId="4" applyFont="1" applyFill="1" applyBorder="1" applyAlignment="1">
      <alignment horizontal="left" vertical="top" wrapText="1"/>
    </xf>
    <xf numFmtId="0" fontId="90" fillId="7" borderId="39" xfId="4" applyFont="1" applyFill="1" applyBorder="1" applyAlignment="1">
      <alignment horizontal="left" vertical="top" wrapText="1"/>
    </xf>
    <xf numFmtId="0" fontId="90" fillId="7" borderId="31" xfId="4" applyFont="1" applyFill="1" applyBorder="1" applyAlignment="1">
      <alignment horizontal="left" vertical="top" wrapText="1"/>
    </xf>
    <xf numFmtId="0" fontId="90" fillId="7" borderId="32" xfId="4" applyFont="1" applyFill="1" applyBorder="1" applyAlignment="1">
      <alignment horizontal="left" vertical="top" wrapText="1"/>
    </xf>
    <xf numFmtId="0" fontId="74" fillId="9" borderId="0" xfId="0" applyFont="1" applyFill="1" applyAlignment="1">
      <alignment horizontal="left" vertical="top" wrapText="1"/>
    </xf>
    <xf numFmtId="0" fontId="59" fillId="0" borderId="35" xfId="0" applyFont="1" applyBorder="1" applyAlignment="1">
      <alignment horizontal="left"/>
    </xf>
    <xf numFmtId="0" fontId="59" fillId="0" borderId="5" xfId="0" applyFont="1" applyBorder="1" applyAlignment="1">
      <alignment horizontal="left"/>
    </xf>
    <xf numFmtId="0" fontId="59" fillId="0" borderId="44" xfId="0" applyFont="1" applyBorder="1" applyAlignment="1">
      <alignment horizontal="right"/>
    </xf>
    <xf numFmtId="0" fontId="59" fillId="0" borderId="12" xfId="0" applyFont="1" applyBorder="1" applyAlignment="1">
      <alignment horizontal="left"/>
    </xf>
    <xf numFmtId="0" fontId="59" fillId="0" borderId="1" xfId="0" applyFont="1" applyBorder="1" applyAlignment="1">
      <alignment horizontal="left"/>
    </xf>
    <xf numFmtId="0" fontId="59" fillId="0" borderId="6" xfId="0" applyFont="1" applyBorder="1" applyAlignment="1">
      <alignment horizontal="left"/>
    </xf>
    <xf numFmtId="0" fontId="62" fillId="0" borderId="6" xfId="0" applyFont="1" applyBorder="1" applyAlignment="1">
      <alignment horizontal="center"/>
    </xf>
    <xf numFmtId="0" fontId="62" fillId="0" borderId="5" xfId="0" applyFont="1" applyBorder="1" applyAlignment="1">
      <alignment horizontal="center"/>
    </xf>
    <xf numFmtId="0" fontId="62" fillId="0" borderId="13" xfId="0" applyFont="1" applyBorder="1" applyAlignment="1">
      <alignment horizontal="center"/>
    </xf>
    <xf numFmtId="0" fontId="59" fillId="0" borderId="45" xfId="0" applyFont="1" applyBorder="1" applyAlignment="1">
      <alignment horizontal="left"/>
    </xf>
    <xf numFmtId="0" fontId="59" fillId="0" borderId="46" xfId="0" applyFont="1" applyBorder="1" applyAlignment="1">
      <alignment horizontal="left"/>
    </xf>
    <xf numFmtId="0" fontId="65" fillId="7" borderId="26" xfId="0" applyFont="1" applyFill="1" applyBorder="1" applyAlignment="1">
      <alignment horizontal="left" vertical="top" wrapText="1"/>
    </xf>
    <xf numFmtId="0" fontId="65" fillId="7" borderId="27" xfId="0" applyFont="1" applyFill="1" applyBorder="1" applyAlignment="1">
      <alignment horizontal="left" vertical="top" wrapText="1"/>
    </xf>
    <xf numFmtId="0" fontId="65" fillId="7" borderId="20" xfId="0" applyFont="1" applyFill="1" applyBorder="1" applyAlignment="1">
      <alignment horizontal="left" vertical="top" wrapText="1"/>
    </xf>
    <xf numFmtId="0" fontId="65" fillId="7" borderId="28" xfId="0" applyFont="1" applyFill="1" applyBorder="1" applyAlignment="1">
      <alignment horizontal="left" vertical="top" wrapText="1"/>
    </xf>
    <xf numFmtId="0" fontId="65" fillId="7" borderId="0" xfId="0" applyFont="1" applyFill="1" applyAlignment="1">
      <alignment horizontal="left" vertical="top" wrapText="1"/>
    </xf>
    <xf numFmtId="0" fontId="65" fillId="7" borderId="29" xfId="0" applyFont="1" applyFill="1" applyBorder="1" applyAlignment="1">
      <alignment horizontal="left" vertical="top" wrapText="1"/>
    </xf>
    <xf numFmtId="0" fontId="65" fillId="7" borderId="47" xfId="0" applyFont="1" applyFill="1" applyBorder="1" applyAlignment="1">
      <alignment horizontal="left" vertical="top" wrapText="1"/>
    </xf>
    <xf numFmtId="0" fontId="65" fillId="7" borderId="25" xfId="0" applyFont="1" applyFill="1" applyBorder="1" applyAlignment="1">
      <alignment horizontal="left" vertical="top" wrapText="1"/>
    </xf>
    <xf numFmtId="0" fontId="65" fillId="7" borderId="38" xfId="0" applyFont="1" applyFill="1" applyBorder="1" applyAlignment="1">
      <alignment horizontal="left" vertical="top" wrapText="1"/>
    </xf>
    <xf numFmtId="0" fontId="76" fillId="0" borderId="26" xfId="0" applyFont="1" applyBorder="1" applyAlignment="1">
      <alignment horizontal="left" wrapText="1"/>
    </xf>
    <xf numFmtId="0" fontId="77" fillId="0" borderId="27" xfId="0" applyFont="1" applyBorder="1" applyAlignment="1">
      <alignment horizontal="left" wrapText="1"/>
    </xf>
    <xf numFmtId="0" fontId="77" fillId="0" borderId="20" xfId="0" applyFont="1" applyBorder="1" applyAlignment="1">
      <alignment horizontal="left" wrapText="1"/>
    </xf>
    <xf numFmtId="0" fontId="77" fillId="0" borderId="28" xfId="0" applyFont="1" applyBorder="1" applyAlignment="1">
      <alignment horizontal="left" wrapText="1"/>
    </xf>
    <xf numFmtId="0" fontId="77" fillId="0" borderId="0" xfId="0" applyFont="1" applyAlignment="1">
      <alignment horizontal="left" wrapText="1"/>
    </xf>
    <xf numFmtId="0" fontId="77" fillId="0" borderId="29" xfId="0" applyFont="1" applyBorder="1" applyAlignment="1">
      <alignment horizontal="left" wrapText="1"/>
    </xf>
    <xf numFmtId="0" fontId="77" fillId="0" borderId="47" xfId="0" applyFont="1" applyBorder="1" applyAlignment="1">
      <alignment horizontal="left" wrapText="1"/>
    </xf>
    <xf numFmtId="0" fontId="77" fillId="0" borderId="25" xfId="0" applyFont="1" applyBorder="1" applyAlignment="1">
      <alignment horizontal="left" wrapText="1"/>
    </xf>
    <xf numFmtId="0" fontId="77" fillId="0" borderId="38" xfId="0" applyFont="1" applyBorder="1" applyAlignment="1">
      <alignment horizontal="left" wrapText="1"/>
    </xf>
    <xf numFmtId="0" fontId="66" fillId="0" borderId="26" xfId="0" applyFont="1" applyBorder="1" applyAlignment="1">
      <alignment horizontal="left" vertical="center" wrapText="1"/>
    </xf>
    <xf numFmtId="0" fontId="66" fillId="0" borderId="27" xfId="0" applyFont="1" applyBorder="1" applyAlignment="1">
      <alignment horizontal="left" vertical="center" wrapText="1"/>
    </xf>
    <xf numFmtId="0" fontId="66" fillId="0" borderId="20" xfId="0" applyFont="1" applyBorder="1" applyAlignment="1">
      <alignment horizontal="left" vertical="center" wrapText="1"/>
    </xf>
    <xf numFmtId="0" fontId="66" fillId="0" borderId="28" xfId="0" applyFont="1" applyBorder="1" applyAlignment="1">
      <alignment horizontal="left" vertical="center" wrapText="1"/>
    </xf>
    <xf numFmtId="0" fontId="66" fillId="0" borderId="0" xfId="0" applyFont="1" applyAlignment="1">
      <alignment horizontal="left" vertical="center" wrapText="1"/>
    </xf>
    <xf numFmtId="0" fontId="66" fillId="0" borderId="29" xfId="0" applyFont="1" applyBorder="1" applyAlignment="1">
      <alignment horizontal="left" vertical="center" wrapText="1"/>
    </xf>
    <xf numFmtId="0" fontId="66" fillId="0" borderId="47" xfId="0" applyFont="1" applyBorder="1" applyAlignment="1">
      <alignment horizontal="left" vertical="center" wrapText="1"/>
    </xf>
    <xf numFmtId="0" fontId="66" fillId="0" borderId="25" xfId="0" applyFont="1" applyBorder="1" applyAlignment="1">
      <alignment horizontal="left" vertical="center" wrapText="1"/>
    </xf>
    <xf numFmtId="0" fontId="66" fillId="0" borderId="38" xfId="0" applyFont="1" applyBorder="1" applyAlignment="1">
      <alignment horizontal="left" vertical="center" wrapText="1"/>
    </xf>
    <xf numFmtId="0" fontId="78" fillId="0" borderId="26" xfId="0" applyFont="1" applyBorder="1" applyAlignment="1">
      <alignment horizontal="left" vertical="center" wrapText="1"/>
    </xf>
    <xf numFmtId="0" fontId="59" fillId="0" borderId="27" xfId="0" applyFont="1" applyBorder="1" applyAlignment="1">
      <alignment horizontal="left" vertical="center" wrapText="1"/>
    </xf>
    <xf numFmtId="0" fontId="59" fillId="0" borderId="20" xfId="0" applyFont="1" applyBorder="1" applyAlignment="1">
      <alignment horizontal="left" vertical="center" wrapText="1"/>
    </xf>
    <xf numFmtId="0" fontId="59" fillId="0" borderId="28" xfId="0" applyFont="1" applyBorder="1" applyAlignment="1">
      <alignment horizontal="left" vertical="center" wrapText="1"/>
    </xf>
    <xf numFmtId="0" fontId="59" fillId="0" borderId="0" xfId="0" applyFont="1" applyAlignment="1">
      <alignment horizontal="left" vertical="center" wrapText="1"/>
    </xf>
    <xf numFmtId="0" fontId="59" fillId="0" borderId="29" xfId="0" applyFont="1" applyBorder="1" applyAlignment="1">
      <alignment horizontal="left" vertical="center" wrapText="1"/>
    </xf>
    <xf numFmtId="0" fontId="59" fillId="0" borderId="47" xfId="0" applyFont="1" applyBorder="1" applyAlignment="1">
      <alignment horizontal="left" vertical="center" wrapText="1"/>
    </xf>
    <xf numFmtId="0" fontId="59" fillId="0" borderId="25" xfId="0" applyFont="1" applyBorder="1" applyAlignment="1">
      <alignment horizontal="left" vertical="center" wrapText="1"/>
    </xf>
    <xf numFmtId="0" fontId="59" fillId="0" borderId="38" xfId="0" applyFont="1" applyBorder="1" applyAlignment="1">
      <alignment horizontal="left" vertical="center" wrapText="1"/>
    </xf>
    <xf numFmtId="0" fontId="66" fillId="0" borderId="30" xfId="0" applyFont="1" applyBorder="1" applyAlignment="1">
      <alignment horizontal="left" vertical="center" wrapText="1"/>
    </xf>
    <xf numFmtId="168" fontId="59" fillId="7" borderId="5" xfId="2" applyNumberFormat="1" applyFont="1" applyFill="1" applyBorder="1" applyAlignment="1">
      <alignment horizontal="right"/>
    </xf>
    <xf numFmtId="10" fontId="59" fillId="7" borderId="6" xfId="3" applyNumberFormat="1" applyFont="1" applyFill="1" applyBorder="1" applyAlignment="1">
      <alignment horizontal="center"/>
    </xf>
    <xf numFmtId="10" fontId="59" fillId="7" borderId="13" xfId="3" applyNumberFormat="1" applyFont="1" applyFill="1" applyBorder="1" applyAlignment="1">
      <alignment horizontal="center"/>
    </xf>
    <xf numFmtId="0" fontId="79" fillId="7" borderId="1" xfId="0" applyFont="1" applyFill="1" applyBorder="1" applyAlignment="1">
      <alignment horizontal="center"/>
    </xf>
    <xf numFmtId="0" fontId="79" fillId="0" borderId="6" xfId="0" applyFont="1" applyBorder="1" applyAlignment="1">
      <alignment horizontal="center"/>
    </xf>
    <xf numFmtId="0" fontId="79" fillId="0" borderId="5" xfId="0" applyFont="1" applyBorder="1" applyAlignment="1">
      <alignment horizontal="center"/>
    </xf>
    <xf numFmtId="0" fontId="79" fillId="0" borderId="13" xfId="0" applyFont="1" applyBorder="1" applyAlignment="1">
      <alignment horizontal="center"/>
    </xf>
    <xf numFmtId="0" fontId="79" fillId="0" borderId="48" xfId="0" applyFont="1" applyBorder="1" applyAlignment="1">
      <alignment horizontal="center"/>
    </xf>
    <xf numFmtId="0" fontId="59" fillId="0" borderId="14" xfId="0" applyFont="1" applyBorder="1" applyAlignment="1">
      <alignment horizontal="left"/>
    </xf>
    <xf numFmtId="0" fontId="59" fillId="0" borderId="15" xfId="0" applyFont="1" applyBorder="1" applyAlignment="1">
      <alignment horizontal="left"/>
    </xf>
    <xf numFmtId="0" fontId="59" fillId="0" borderId="21" xfId="0" applyFont="1" applyBorder="1" applyAlignment="1">
      <alignment horizontal="left"/>
    </xf>
    <xf numFmtId="0" fontId="48" fillId="0" borderId="7" xfId="0" applyFont="1" applyBorder="1" applyAlignment="1">
      <alignment horizontal="center"/>
    </xf>
    <xf numFmtId="0" fontId="48" fillId="0" borderId="17" xfId="0" applyFont="1" applyBorder="1" applyAlignment="1">
      <alignment horizontal="center"/>
    </xf>
    <xf numFmtId="0" fontId="48" fillId="0" borderId="16" xfId="0" applyFont="1" applyBorder="1" applyAlignment="1">
      <alignment horizontal="center"/>
    </xf>
    <xf numFmtId="0" fontId="50" fillId="7" borderId="1" xfId="0" applyFont="1" applyFill="1" applyBorder="1" applyAlignment="1">
      <alignment horizontal="left" vertical="top" wrapText="1"/>
    </xf>
    <xf numFmtId="0" fontId="50" fillId="7" borderId="65" xfId="0" applyFont="1" applyFill="1" applyBorder="1" applyAlignment="1">
      <alignment horizontal="left" vertical="top" wrapText="1"/>
    </xf>
    <xf numFmtId="0" fontId="48" fillId="0" borderId="74" xfId="0" applyFont="1" applyBorder="1" applyAlignment="1">
      <alignment horizontal="center"/>
    </xf>
    <xf numFmtId="0" fontId="48" fillId="0" borderId="49" xfId="0" applyFont="1" applyBorder="1" applyAlignment="1">
      <alignment horizontal="center"/>
    </xf>
    <xf numFmtId="0" fontId="48" fillId="0" borderId="50" xfId="0" applyFont="1" applyBorder="1" applyAlignment="1">
      <alignment horizontal="center"/>
    </xf>
    <xf numFmtId="17" fontId="48" fillId="0" borderId="72" xfId="0" applyNumberFormat="1" applyFont="1" applyBorder="1" applyAlignment="1">
      <alignment horizontal="center"/>
    </xf>
    <xf numFmtId="0" fontId="48" fillId="0" borderId="73" xfId="0" applyFont="1" applyBorder="1" applyAlignment="1">
      <alignment horizontal="center"/>
    </xf>
    <xf numFmtId="0" fontId="50" fillId="7" borderId="26" xfId="0" applyFont="1" applyFill="1" applyBorder="1" applyAlignment="1">
      <alignment horizontal="left" vertical="top" wrapText="1"/>
    </xf>
    <xf numFmtId="0" fontId="50" fillId="7" borderId="20" xfId="0" applyFont="1" applyFill="1" applyBorder="1" applyAlignment="1">
      <alignment horizontal="left" vertical="top" wrapText="1"/>
    </xf>
    <xf numFmtId="0" fontId="50" fillId="7" borderId="28" xfId="0" applyFont="1" applyFill="1" applyBorder="1" applyAlignment="1">
      <alignment horizontal="left" vertical="top" wrapText="1"/>
    </xf>
    <xf numFmtId="0" fontId="50" fillId="7" borderId="29" xfId="0" applyFont="1" applyFill="1" applyBorder="1" applyAlignment="1">
      <alignment horizontal="left" vertical="top" wrapText="1"/>
    </xf>
    <xf numFmtId="0" fontId="50" fillId="7" borderId="47" xfId="0" applyFont="1" applyFill="1" applyBorder="1" applyAlignment="1">
      <alignment horizontal="left" vertical="top" wrapText="1"/>
    </xf>
    <xf numFmtId="0" fontId="50" fillId="7" borderId="38" xfId="0" applyFont="1" applyFill="1" applyBorder="1" applyAlignment="1">
      <alignment horizontal="left" vertical="top" wrapText="1"/>
    </xf>
    <xf numFmtId="0" fontId="45" fillId="0" borderId="69" xfId="0" applyFont="1" applyBorder="1" applyAlignment="1">
      <alignment horizontal="center"/>
    </xf>
    <xf numFmtId="0" fontId="45" fillId="0" borderId="70" xfId="0" applyFont="1" applyBorder="1" applyAlignment="1">
      <alignment horizontal="center"/>
    </xf>
    <xf numFmtId="0" fontId="45" fillId="0" borderId="71" xfId="0" applyFont="1" applyBorder="1" applyAlignment="1">
      <alignment horizontal="center"/>
    </xf>
    <xf numFmtId="0" fontId="55" fillId="0" borderId="1" xfId="0" applyFont="1" applyBorder="1" applyAlignment="1">
      <alignment horizontal="center"/>
    </xf>
    <xf numFmtId="0" fontId="55" fillId="0" borderId="63" xfId="0" applyFont="1" applyBorder="1" applyAlignment="1">
      <alignment horizontal="center"/>
    </xf>
    <xf numFmtId="10" fontId="80" fillId="0" borderId="43" xfId="0" applyNumberFormat="1" applyFont="1" applyBorder="1" applyAlignment="1">
      <alignment horizontal="center"/>
    </xf>
    <xf numFmtId="10" fontId="80" fillId="0" borderId="22" xfId="0" applyNumberFormat="1" applyFont="1" applyBorder="1" applyAlignment="1">
      <alignment horizontal="center"/>
    </xf>
    <xf numFmtId="0" fontId="46" fillId="0" borderId="16" xfId="0" applyFont="1" applyBorder="1" applyAlignment="1">
      <alignment horizontal="center"/>
    </xf>
    <xf numFmtId="0" fontId="46" fillId="0" borderId="17" xfId="0" applyFont="1" applyBorder="1" applyAlignment="1">
      <alignment horizontal="center"/>
    </xf>
    <xf numFmtId="0" fontId="52" fillId="7" borderId="30" xfId="0" applyFont="1" applyFill="1" applyBorder="1" applyAlignment="1">
      <alignment horizontal="left" vertical="top" wrapText="1"/>
    </xf>
    <xf numFmtId="0" fontId="52" fillId="7" borderId="0" xfId="0" applyFont="1" applyFill="1" applyAlignment="1">
      <alignment horizontal="left" vertical="top" wrapText="1"/>
    </xf>
    <xf numFmtId="0" fontId="45" fillId="7" borderId="43" xfId="0" applyFont="1" applyFill="1" applyBorder="1" applyAlignment="1">
      <alignment horizontal="center"/>
    </xf>
    <xf numFmtId="0" fontId="45" fillId="7" borderId="44" xfId="0" applyFont="1" applyFill="1" applyBorder="1" applyAlignment="1">
      <alignment horizontal="center"/>
    </xf>
    <xf numFmtId="0" fontId="45" fillId="7" borderId="22" xfId="0" applyFont="1" applyFill="1" applyBorder="1" applyAlignment="1">
      <alignment horizontal="center"/>
    </xf>
    <xf numFmtId="0" fontId="38" fillId="7" borderId="7" xfId="0" applyFont="1" applyFill="1" applyBorder="1" applyAlignment="1">
      <alignment horizontal="left" wrapText="1"/>
    </xf>
    <xf numFmtId="0" fontId="38" fillId="7" borderId="16" xfId="0" applyFont="1" applyFill="1" applyBorder="1" applyAlignment="1">
      <alignment horizontal="left" wrapText="1"/>
    </xf>
    <xf numFmtId="0" fontId="38" fillId="7" borderId="17" xfId="0" applyFont="1" applyFill="1" applyBorder="1" applyAlignment="1">
      <alignment horizontal="left" wrapText="1"/>
    </xf>
    <xf numFmtId="0" fontId="38" fillId="7" borderId="39" xfId="0" applyFont="1" applyFill="1" applyBorder="1" applyAlignment="1">
      <alignment horizontal="left" wrapText="1"/>
    </xf>
    <xf numFmtId="0" fontId="38" fillId="7" borderId="31" xfId="0" applyFont="1" applyFill="1" applyBorder="1" applyAlignment="1">
      <alignment horizontal="left" wrapText="1"/>
    </xf>
    <xf numFmtId="0" fontId="38" fillId="7" borderId="32" xfId="0" applyFont="1" applyFill="1" applyBorder="1" applyAlignment="1">
      <alignment horizontal="left" wrapText="1"/>
    </xf>
    <xf numFmtId="0" fontId="33" fillId="7" borderId="7" xfId="0" applyFont="1" applyFill="1" applyBorder="1" applyAlignment="1">
      <alignment horizontal="left" vertical="top" wrapText="1"/>
    </xf>
    <xf numFmtId="0" fontId="33" fillId="7" borderId="16" xfId="0" applyFont="1" applyFill="1" applyBorder="1" applyAlignment="1">
      <alignment horizontal="left" vertical="top" wrapText="1"/>
    </xf>
    <xf numFmtId="0" fontId="33" fillId="7" borderId="17" xfId="0" applyFont="1" applyFill="1" applyBorder="1" applyAlignment="1">
      <alignment horizontal="left" vertical="top" wrapText="1"/>
    </xf>
    <xf numFmtId="0" fontId="33" fillId="7" borderId="30" xfId="0" applyFont="1" applyFill="1" applyBorder="1" applyAlignment="1">
      <alignment horizontal="left" vertical="top" wrapText="1"/>
    </xf>
    <xf numFmtId="0" fontId="33" fillId="7" borderId="0" xfId="0" applyFont="1" applyFill="1" applyAlignment="1">
      <alignment horizontal="left" vertical="top" wrapText="1"/>
    </xf>
    <xf numFmtId="0" fontId="33" fillId="7" borderId="18" xfId="0" applyFont="1" applyFill="1" applyBorder="1" applyAlignment="1">
      <alignment horizontal="left" vertical="top" wrapText="1"/>
    </xf>
    <xf numFmtId="0" fontId="33" fillId="7" borderId="39" xfId="0" applyFont="1" applyFill="1" applyBorder="1" applyAlignment="1">
      <alignment horizontal="left" vertical="top" wrapText="1"/>
    </xf>
    <xf numFmtId="0" fontId="33" fillId="7" borderId="31" xfId="0" applyFont="1" applyFill="1" applyBorder="1" applyAlignment="1">
      <alignment horizontal="left" vertical="top" wrapText="1"/>
    </xf>
    <xf numFmtId="0" fontId="33" fillId="7" borderId="32" xfId="0" applyFont="1" applyFill="1" applyBorder="1" applyAlignment="1">
      <alignment horizontal="left" vertical="top" wrapText="1"/>
    </xf>
    <xf numFmtId="0" fontId="0" fillId="0" borderId="0" xfId="0" applyAlignment="1">
      <alignment horizontal="left" vertical="top" wrapText="1"/>
    </xf>
    <xf numFmtId="0" fontId="34" fillId="7" borderId="7" xfId="0" applyFont="1" applyFill="1" applyBorder="1" applyAlignment="1">
      <alignment horizontal="left" vertical="top" wrapText="1"/>
    </xf>
    <xf numFmtId="0" fontId="34" fillId="7" borderId="16" xfId="0" applyFont="1" applyFill="1" applyBorder="1" applyAlignment="1">
      <alignment horizontal="left" vertical="top" wrapText="1"/>
    </xf>
    <xf numFmtId="0" fontId="34" fillId="7" borderId="17" xfId="0" applyFont="1" applyFill="1" applyBorder="1" applyAlignment="1">
      <alignment horizontal="left" vertical="top" wrapText="1"/>
    </xf>
    <xf numFmtId="0" fontId="34" fillId="7" borderId="30" xfId="0" applyFont="1" applyFill="1" applyBorder="1" applyAlignment="1">
      <alignment horizontal="left" vertical="top" wrapText="1"/>
    </xf>
    <xf numFmtId="0" fontId="34" fillId="7" borderId="0" xfId="0" applyFont="1" applyFill="1" applyAlignment="1">
      <alignment horizontal="left" vertical="top" wrapText="1"/>
    </xf>
    <xf numFmtId="0" fontId="34" fillId="7" borderId="18" xfId="0" applyFont="1" applyFill="1" applyBorder="1" applyAlignment="1">
      <alignment horizontal="left" vertical="top" wrapText="1"/>
    </xf>
    <xf numFmtId="0" fontId="34" fillId="7" borderId="39" xfId="0" applyFont="1" applyFill="1" applyBorder="1" applyAlignment="1">
      <alignment horizontal="left" vertical="top" wrapText="1"/>
    </xf>
    <xf numFmtId="0" fontId="34" fillId="7" borderId="31" xfId="0" applyFont="1" applyFill="1" applyBorder="1" applyAlignment="1">
      <alignment horizontal="left" vertical="top" wrapText="1"/>
    </xf>
    <xf numFmtId="0" fontId="34" fillId="7" borderId="32" xfId="0" applyFont="1" applyFill="1" applyBorder="1" applyAlignment="1">
      <alignment horizontal="left" vertical="top" wrapText="1"/>
    </xf>
    <xf numFmtId="0" fontId="0" fillId="7" borderId="1" xfId="0" applyFill="1" applyBorder="1" applyAlignment="1">
      <alignment horizontal="left" vertical="top" wrapText="1"/>
    </xf>
    <xf numFmtId="0" fontId="11" fillId="11" borderId="0" xfId="0" applyFont="1" applyFill="1" applyAlignment="1">
      <alignment horizontal="center" vertical="center" wrapText="1"/>
    </xf>
    <xf numFmtId="0" fontId="2" fillId="7" borderId="1" xfId="0" applyFont="1" applyFill="1" applyBorder="1" applyAlignment="1">
      <alignment horizontal="left" vertical="top" wrapText="1"/>
    </xf>
    <xf numFmtId="0" fontId="23" fillId="0" borderId="27" xfId="0" applyFont="1" applyBorder="1" applyAlignment="1">
      <alignment horizontal="center"/>
    </xf>
    <xf numFmtId="0" fontId="35" fillId="0" borderId="43" xfId="0" applyFont="1" applyBorder="1" applyAlignment="1">
      <alignment horizontal="center"/>
    </xf>
    <xf numFmtId="0" fontId="35" fillId="0" borderId="44" xfId="0" applyFont="1" applyBorder="1" applyAlignment="1">
      <alignment horizontal="center"/>
    </xf>
    <xf numFmtId="0" fontId="35" fillId="0" borderId="22" xfId="0" applyFont="1" applyBorder="1" applyAlignment="1">
      <alignment horizontal="center"/>
    </xf>
    <xf numFmtId="0" fontId="25" fillId="0" borderId="43" xfId="0" applyFont="1" applyBorder="1" applyAlignment="1">
      <alignment horizontal="center"/>
    </xf>
    <xf numFmtId="0" fontId="25" fillId="0" borderId="44" xfId="0" applyFont="1" applyBorder="1" applyAlignment="1">
      <alignment horizontal="center"/>
    </xf>
    <xf numFmtId="0" fontId="25" fillId="0" borderId="22" xfId="0" applyFont="1" applyBorder="1" applyAlignment="1">
      <alignment horizontal="center"/>
    </xf>
    <xf numFmtId="0" fontId="25" fillId="0" borderId="16" xfId="0" applyFont="1" applyBorder="1" applyAlignment="1">
      <alignment horizontal="center"/>
    </xf>
    <xf numFmtId="0" fontId="26" fillId="7" borderId="43" xfId="0" applyFont="1" applyFill="1" applyBorder="1" applyAlignment="1">
      <alignment horizontal="center"/>
    </xf>
    <xf numFmtId="0" fontId="26" fillId="7" borderId="44" xfId="0" applyFont="1" applyFill="1" applyBorder="1" applyAlignment="1">
      <alignment horizontal="center"/>
    </xf>
    <xf numFmtId="0" fontId="26" fillId="7" borderId="22" xfId="0" applyFont="1" applyFill="1" applyBorder="1" applyAlignment="1">
      <alignment horizontal="center"/>
    </xf>
    <xf numFmtId="0" fontId="81" fillId="0" borderId="3" xfId="0" applyFont="1" applyBorder="1" applyAlignment="1">
      <alignment horizontal="center" vertical="center" textRotation="90" wrapText="1"/>
    </xf>
    <xf numFmtId="0" fontId="81" fillId="0" borderId="48" xfId="0" applyFont="1" applyBorder="1" applyAlignment="1">
      <alignment horizontal="center" vertical="center" textRotation="90" wrapText="1"/>
    </xf>
    <xf numFmtId="0" fontId="81" fillId="0" borderId="9" xfId="0" applyFont="1" applyBorder="1" applyAlignment="1">
      <alignment horizontal="center" vertical="center" textRotation="90" wrapText="1"/>
    </xf>
    <xf numFmtId="0" fontId="0" fillId="0" borderId="0" xfId="0" applyAlignment="1">
      <alignment horizontal="center"/>
    </xf>
    <xf numFmtId="2" fontId="61" fillId="0" borderId="25" xfId="0" applyNumberFormat="1" applyFont="1" applyBorder="1" applyAlignment="1">
      <alignment horizontal="center"/>
    </xf>
    <xf numFmtId="164" fontId="0" fillId="0" borderId="28" xfId="0" applyNumberFormat="1" applyBorder="1" applyAlignment="1">
      <alignment horizontal="center" vertical="center" wrapText="1"/>
    </xf>
    <xf numFmtId="0" fontId="37" fillId="7" borderId="52" xfId="0" applyFont="1" applyFill="1" applyBorder="1" applyAlignment="1">
      <alignment horizontal="left" vertical="top" wrapText="1"/>
    </xf>
    <xf numFmtId="0" fontId="0" fillId="7" borderId="53" xfId="0" applyFill="1" applyBorder="1" applyAlignment="1">
      <alignment horizontal="left" vertical="top" wrapText="1"/>
    </xf>
    <xf numFmtId="0" fontId="0" fillId="7" borderId="54" xfId="0" applyFill="1" applyBorder="1" applyAlignment="1">
      <alignment horizontal="left" vertical="top" wrapText="1"/>
    </xf>
    <xf numFmtId="0" fontId="0" fillId="7" borderId="55" xfId="0" applyFill="1" applyBorder="1" applyAlignment="1">
      <alignment horizontal="left" vertical="top" wrapText="1"/>
    </xf>
    <xf numFmtId="0" fontId="0" fillId="7" borderId="0" xfId="0" applyFill="1" applyAlignment="1">
      <alignment horizontal="left" vertical="top" wrapText="1"/>
    </xf>
    <xf numFmtId="0" fontId="0" fillId="7" borderId="56" xfId="0" applyFill="1" applyBorder="1" applyAlignment="1">
      <alignment horizontal="left" vertical="top" wrapText="1"/>
    </xf>
    <xf numFmtId="0" fontId="0" fillId="7" borderId="57" xfId="0" applyFill="1" applyBorder="1" applyAlignment="1">
      <alignment horizontal="left" vertical="top" wrapText="1"/>
    </xf>
    <xf numFmtId="0" fontId="0" fillId="7" borderId="58" xfId="0" applyFill="1" applyBorder="1" applyAlignment="1">
      <alignment horizontal="left" vertical="top" wrapText="1"/>
    </xf>
    <xf numFmtId="0" fontId="0" fillId="7" borderId="59" xfId="0" applyFill="1" applyBorder="1" applyAlignment="1">
      <alignment horizontal="left" vertical="top" wrapText="1"/>
    </xf>
    <xf numFmtId="10" fontId="61" fillId="0" borderId="25" xfId="3" applyNumberFormat="1" applyFont="1" applyBorder="1" applyAlignment="1">
      <alignment horizontal="center"/>
    </xf>
    <xf numFmtId="10" fontId="61" fillId="0" borderId="13" xfId="3" applyNumberFormat="1" applyFont="1" applyBorder="1" applyAlignment="1">
      <alignment horizontal="center" wrapText="1"/>
    </xf>
    <xf numFmtId="2" fontId="61" fillId="0" borderId="13" xfId="0" applyNumberFormat="1" applyFont="1" applyBorder="1" applyAlignment="1">
      <alignment horizontal="center" wrapText="1"/>
    </xf>
    <xf numFmtId="2" fontId="61" fillId="0" borderId="0" xfId="0" applyNumberFormat="1" applyFont="1" applyAlignment="1">
      <alignment horizontal="center"/>
    </xf>
    <xf numFmtId="3" fontId="0" fillId="0" borderId="0" xfId="0" applyNumberFormat="1" applyAlignment="1">
      <alignment horizontal="center"/>
    </xf>
    <xf numFmtId="2" fontId="0" fillId="0" borderId="0" xfId="0" applyNumberFormat="1" applyAlignment="1">
      <alignment horizontal="center"/>
    </xf>
  </cellXfs>
  <cellStyles count="5">
    <cellStyle name="Comma" xfId="1" builtinId="3"/>
    <cellStyle name="Currency" xfId="2" builtinId="4"/>
    <cellStyle name="Hyperlink" xfId="4" builtinId="8"/>
    <cellStyle name="Normal" xfId="0" builtinId="0"/>
    <cellStyle name="Percent" xfId="3" builtinId="5"/>
  </cellStyles>
  <dxfs count="5">
    <dxf>
      <border>
        <left/>
        <right/>
        <top/>
        <bottom/>
      </border>
    </dxf>
    <dxf>
      <font>
        <b val="0"/>
        <i val="0"/>
        <strike val="0"/>
        <condense val="0"/>
        <extend val="0"/>
        <outline val="0"/>
        <shadow val="0"/>
        <u val="none"/>
        <vertAlign val="baseline"/>
        <sz val="9"/>
        <color auto="1"/>
        <name val="Geneva"/>
        <family val="2"/>
        <scheme val="none"/>
      </font>
      <alignment horizontal="center" vertical="bottom"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9"/>
        <color auto="1"/>
        <name val="Geneva"/>
        <family val="2"/>
        <scheme val="none"/>
      </font>
      <border diagonalUp="0" diagonalDown="0">
        <left/>
        <right style="thin">
          <color indexed="64"/>
        </right>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508000</xdr:colOff>
      <xdr:row>0</xdr:row>
      <xdr:rowOff>12700</xdr:rowOff>
    </xdr:from>
    <xdr:to>
      <xdr:col>13</xdr:col>
      <xdr:colOff>685800</xdr:colOff>
      <xdr:row>16</xdr:row>
      <xdr:rowOff>152400</xdr:rowOff>
    </xdr:to>
    <xdr:pic>
      <xdr:nvPicPr>
        <xdr:cNvPr id="1160" name="Picture 5">
          <a:extLst>
            <a:ext uri="{FF2B5EF4-FFF2-40B4-BE49-F238E27FC236}">
              <a16:creationId xmlns:a16="http://schemas.microsoft.com/office/drawing/2014/main" id="{E68E772D-3E46-BDC8-2AF4-0966910D72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0" y="12700"/>
          <a:ext cx="3162300" cy="344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25400</xdr:colOff>
      <xdr:row>3</xdr:row>
      <xdr:rowOff>25400</xdr:rowOff>
    </xdr:from>
    <xdr:to>
      <xdr:col>10</xdr:col>
      <xdr:colOff>457200</xdr:colOff>
      <xdr:row>3</xdr:row>
      <xdr:rowOff>63500</xdr:rowOff>
    </xdr:to>
    <xdr:cxnSp macro="">
      <xdr:nvCxnSpPr>
        <xdr:cNvPr id="9" name="Straight Arrow Connector 8">
          <a:extLst>
            <a:ext uri="{FF2B5EF4-FFF2-40B4-BE49-F238E27FC236}">
              <a16:creationId xmlns:a16="http://schemas.microsoft.com/office/drawing/2014/main" id="{C6D8AB2F-5B30-E811-8392-F8142FD7749E}"/>
            </a:ext>
          </a:extLst>
        </xdr:cNvPr>
        <xdr:cNvCxnSpPr/>
      </xdr:nvCxnSpPr>
      <xdr:spPr>
        <a:xfrm>
          <a:off x="17043400" y="635000"/>
          <a:ext cx="431800" cy="381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60960</xdr:colOff>
      <xdr:row>0</xdr:row>
      <xdr:rowOff>73660</xdr:rowOff>
    </xdr:from>
    <xdr:ext cx="2215478" cy="609013"/>
    <xdr:sp macro="" textlink="">
      <xdr:nvSpPr>
        <xdr:cNvPr id="3" name="TextBox 2">
          <a:extLst>
            <a:ext uri="{FF2B5EF4-FFF2-40B4-BE49-F238E27FC236}">
              <a16:creationId xmlns:a16="http://schemas.microsoft.com/office/drawing/2014/main" id="{3213C44C-2C18-5269-9BED-E16097F356AB}"/>
            </a:ext>
          </a:extLst>
        </xdr:cNvPr>
        <xdr:cNvSpPr txBox="1"/>
      </xdr:nvSpPr>
      <xdr:spPr>
        <a:xfrm>
          <a:off x="14986000" y="73660"/>
          <a:ext cx="2215478"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rgbClr val="FF0000"/>
              </a:solidFill>
            </a:rPr>
            <a:t>Check these revenues against</a:t>
          </a:r>
        </a:p>
        <a:p>
          <a:r>
            <a:rPr lang="en-US" sz="1100">
              <a:solidFill>
                <a:srgbClr val="FF0000"/>
              </a:solidFill>
            </a:rPr>
            <a:t>a.</a:t>
          </a:r>
          <a:r>
            <a:rPr lang="en-US" sz="1100" baseline="0">
              <a:solidFill>
                <a:srgbClr val="FF0000"/>
              </a:solidFill>
            </a:rPr>
            <a:t> Overall market size</a:t>
          </a:r>
        </a:p>
        <a:p>
          <a:r>
            <a:rPr lang="en-US" sz="1100" baseline="0">
              <a:solidFill>
                <a:srgbClr val="FF0000"/>
              </a:solidFill>
            </a:rPr>
            <a:t>b. Largest companies in this market</a:t>
          </a:r>
          <a:endParaRPr lang="en-US" sz="1100">
            <a:solidFill>
              <a:srgbClr val="FF0000"/>
            </a:solidFill>
          </a:endParaRPr>
        </a:p>
      </xdr:txBody>
    </xdr:sp>
    <xdr:clientData/>
  </xdr:oneCellAnchor>
  <xdr:oneCellAnchor>
    <xdr:from>
      <xdr:col>11</xdr:col>
      <xdr:colOff>40640</xdr:colOff>
      <xdr:row>41</xdr:row>
      <xdr:rowOff>40640</xdr:rowOff>
    </xdr:from>
    <xdr:ext cx="4613106" cy="780592"/>
    <xdr:sp macro="" textlink="">
      <xdr:nvSpPr>
        <xdr:cNvPr id="4" name="TextBox 3">
          <a:extLst>
            <a:ext uri="{FF2B5EF4-FFF2-40B4-BE49-F238E27FC236}">
              <a16:creationId xmlns:a16="http://schemas.microsoft.com/office/drawing/2014/main" id="{0ACE79DE-FA05-4FFF-B08E-56815DA6CBFB}"/>
            </a:ext>
          </a:extLst>
        </xdr:cNvPr>
        <xdr:cNvSpPr txBox="1"/>
      </xdr:nvSpPr>
      <xdr:spPr>
        <a:xfrm>
          <a:off x="12771120" y="7538720"/>
          <a:ext cx="4613106" cy="7694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rgbClr val="FF0000"/>
              </a:solidFill>
            </a:rPr>
            <a:t>Compare this return on capital</a:t>
          </a:r>
          <a:r>
            <a:rPr lang="en-US" sz="1100" baseline="0">
              <a:solidFill>
                <a:srgbClr val="FF0000"/>
              </a:solidFill>
            </a:rPr>
            <a:t> in year 10 against</a:t>
          </a:r>
        </a:p>
        <a:p>
          <a:r>
            <a:rPr lang="en-US" sz="1100" baseline="0">
              <a:solidFill>
                <a:srgbClr val="FF0000"/>
              </a:solidFill>
            </a:rPr>
            <a:t>a.  the industry average(column E of worksheet)</a:t>
          </a:r>
        </a:p>
        <a:p>
          <a:r>
            <a:rPr lang="en-US" sz="1100" baseline="0">
              <a:solidFill>
                <a:srgbClr val="FF0000"/>
              </a:solidFill>
            </a:rPr>
            <a:t>b. the return on capital after year 10</a:t>
          </a:r>
        </a:p>
        <a:p>
          <a:r>
            <a:rPr lang="en-US" sz="1100" baseline="0">
              <a:solidFill>
                <a:srgbClr val="FF0000"/>
              </a:solidFill>
            </a:rPr>
            <a:t>If it is too high (low), you may want to lower  (raise) your sales to capital ratio</a:t>
          </a:r>
          <a:endParaRPr lang="en-US" sz="1100">
            <a:solidFill>
              <a:srgbClr val="FF0000"/>
            </a:solidFill>
          </a:endParaRPr>
        </a:p>
      </xdr:txBody>
    </xdr:sp>
    <xdr:clientData/>
  </xdr:oneCellAnchor>
  <xdr:oneCellAnchor>
    <xdr:from>
      <xdr:col>14</xdr:col>
      <xdr:colOff>30480</xdr:colOff>
      <xdr:row>6</xdr:row>
      <xdr:rowOff>144780</xdr:rowOff>
    </xdr:from>
    <xdr:ext cx="2133600" cy="436786"/>
    <xdr:sp macro="" textlink="">
      <xdr:nvSpPr>
        <xdr:cNvPr id="2" name="TextBox 1">
          <a:extLst>
            <a:ext uri="{FF2B5EF4-FFF2-40B4-BE49-F238E27FC236}">
              <a16:creationId xmlns:a16="http://schemas.microsoft.com/office/drawing/2014/main" id="{EBBD73A6-7FFA-3B0E-2170-31F7230A167D}"/>
            </a:ext>
          </a:extLst>
        </xdr:cNvPr>
        <xdr:cNvSpPr txBox="1"/>
      </xdr:nvSpPr>
      <xdr:spPr>
        <a:xfrm>
          <a:off x="15920720" y="1363980"/>
          <a:ext cx="2133600"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rPr>
            <a:t>This is how much capital you invested over the</a:t>
          </a:r>
          <a:r>
            <a:rPr lang="en-US" sz="1100" baseline="0">
              <a:solidFill>
                <a:srgbClr val="FF0000"/>
              </a:solidFill>
            </a:rPr>
            <a:t> ten year period. </a:t>
          </a:r>
          <a:endParaRPr lang="en-US" sz="1100">
            <a:solidFill>
              <a:srgbClr val="FF0000"/>
            </a:solidFill>
          </a:endParaRPr>
        </a:p>
      </xdr:txBody>
    </xdr:sp>
    <xdr:clientData/>
  </xdr:oneCellAnchor>
  <xdr:oneCellAnchor>
    <xdr:from>
      <xdr:col>14</xdr:col>
      <xdr:colOff>10160</xdr:colOff>
      <xdr:row>3</xdr:row>
      <xdr:rowOff>144780</xdr:rowOff>
    </xdr:from>
    <xdr:ext cx="2895600" cy="436786"/>
    <xdr:sp macro="" textlink="">
      <xdr:nvSpPr>
        <xdr:cNvPr id="5" name="TextBox 4">
          <a:extLst>
            <a:ext uri="{FF2B5EF4-FFF2-40B4-BE49-F238E27FC236}">
              <a16:creationId xmlns:a16="http://schemas.microsoft.com/office/drawing/2014/main" id="{59B96528-72AE-2BFE-FAB4-5916EAA28196}"/>
            </a:ext>
          </a:extLst>
        </xdr:cNvPr>
        <xdr:cNvSpPr txBox="1"/>
      </xdr:nvSpPr>
      <xdr:spPr>
        <a:xfrm>
          <a:off x="15900400" y="754380"/>
          <a:ext cx="2895600"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rPr>
            <a:t>This is is how much your</a:t>
          </a:r>
          <a:r>
            <a:rPr lang="en-US" sz="1100" baseline="0">
              <a:solidFill>
                <a:srgbClr val="FF0000"/>
              </a:solidFill>
            </a:rPr>
            <a:t> operating income grew over the ten-year period.</a:t>
          </a:r>
          <a:endParaRPr lang="en-US" sz="1100">
            <a:solidFill>
              <a:srgbClr val="FF0000"/>
            </a:solidFill>
          </a:endParaRPr>
        </a:p>
      </xdr:txBody>
    </xdr:sp>
    <xdr:clientData/>
  </xdr:oneCellAnchor>
</xdr:wsDr>
</file>

<file path=xl/persons/person.xml><?xml version="1.0" encoding="utf-8"?>
<personList xmlns="http://schemas.microsoft.com/office/spreadsheetml/2018/threadedcomments" xmlns:x="http://schemas.openxmlformats.org/spreadsheetml/2006/main">
  <person displayName="Aswath Damodaran" id="{B8988432-A585-3645-9E20-E422F2920603}" userId="589fc2f8758a430e" providerId="Windows Live"/>
  <person displayName="Aswath Damodaran" id="{0F80F988-B051-7943-8010-D75DA554ADAF}" userId="Aswath Damodaran" providerId="None"/>
  <person displayName="Microsoft Office User" id="{4042FB09-E9EB-D84D-8E02-872BC23B2B37}" userId="Microsoft Office User"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0CC6521-F3FC-AA4B-8C99-14D0EBFC4850}" name="Table1" displayName="Table1" ref="A43:B141" totalsRowShown="0" headerRowBorderDxfId="4" tableBorderDxfId="3">
  <autoFilter ref="A43:B141" xr:uid="{30CC6521-F3FC-AA4B-8C99-14D0EBFC4850}"/>
  <tableColumns count="2">
    <tableColumn id="1" xr3:uid="{C59A5F9E-BF2B-AB41-998B-4A1A243E38D4}" name="Industry Name" dataDxfId="2"/>
    <tableColumn id="2" xr3:uid="{AFFDDF7B-820A-014E-AA29-B247367E7F0B}" name="Amortization Period" dataDxfId="1"/>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7" dT="2024-02-15T12:43:21.21" personId="{B8988432-A585-3645-9E20-E422F2920603}" id="{71F54301-01F9-6142-81B2-70E7EE6CDDF7}">
    <text>This is a pull down menu, and you should enter your country of incorporation. You can always add more details on geographic risk exposure in the cost of capital worksheet.</text>
  </threadedComment>
  <threadedComment ref="B8" personId="{0F80F988-B051-7943-8010-D75DA554ADAF}" id="{54FBC3F9-EB9F-7C41-8C6D-97F512BA685D}">
    <text>If you are in multiple businesses, make your judgment on the one industry group that it most falls into, and pick that one for this cell. Later, in the cost of capital section, you will be able to break the company down into more detail.</text>
  </threadedComment>
  <threadedComment ref="B9" personId="{0F80F988-B051-7943-8010-D75DA554ADAF}" id="{CA4A0E69-2EC1-064C-82D5-50B182E99825}">
    <text>If you are in multiple businesses, make your judgment on the one industry group that it most falls into, and pick that one for this cell. In general, your pick here should match your pick in the cell above. Later, in the cost of capital section, you will be able to break the company down into more detail.</text>
  </threadedComment>
  <threadedComment ref="C10" personId="{4042FB09-E9EB-D84D-8E02-872BC23B2B37}" id="{E0152BD4-8763-E340-9F3D-57E83246CD86}">
    <text xml:space="preserve">Aswath Damodaran:
If your last twelve months of data come from a 10K or Annual Report, the last 10K will be the previous year’s 10K or annual report. If your last twelve months are midway through a fiscal year, this will be the previous fiscal year. For example, when valuing Amazon in February 2024, my most recent twelve months happened to be the last fiscal year ended Dec 31, 2023. The last 10K before it would have been the fiscal year ended Dec 31, 2022. However, when I valued Amazon in November 2023, the most recent 12 months would have been through Sept 2023, representing the last quarter of 2022, and the first three quarters of 2023. The most recent 10K (ot annual report) would still have been the 2022 annutal report, but I would have entered 0.75 instead of 1 in the next column.
</text>
  </threadedComment>
  <threadedComment ref="D10" personId="{0F80F988-B051-7943-8010-D75DA554ADAF}" id="{2D890560-A4D2-9046-BCC4-FEE8DA2A9099}">
    <text>If your most recent year's numbers are your current, and you are entering the llast year's numbers for last year, enter 1. If you have trailing 12-month numbers, and you are entering the last fiscal year's numbers as trailing 12-month, enter teh fraction of a year since that last report. Thus, if your trailing 12-month numbers are through September 2023, and yuor lasst fiscal year was  the 2023 calendar year, enter 0.75, since nine months have passed.</text>
  </threadedComment>
  <threadedComment ref="B11" personId="{0F80F988-B051-7943-8010-D75DA554ADAF}" id="{09E9FA1F-138A-9547-B116-0278E256325D}">
    <text>Enter the revenues from the most recent twelve months. If your company had no revenues, enter a  small positive number. (You need a base for your growth rate)</text>
  </threadedComment>
  <threadedComment ref="C11" personId="{0F80F988-B051-7943-8010-D75DA554ADAF}" id="{B4FAFBEA-7EF5-9E49-BDDC-74E67266D7B3}">
    <text xml:space="preserve">Enter the revenues from the last annual report before your most recent 12 months ended. </text>
  </threadedComment>
  <threadedComment ref="D11" dT="2024-02-15T12:52:49.91" personId="{B8988432-A585-3645-9E20-E422F2920603}" id="{2F9D57EC-A335-6C45-8636-50B8E9391785}">
    <text>If your most recent 12 months of data represent the most recent fiscal year, and your last 10 before LTM is the previous fiscal year, enter 1.00. If your most recent 12 months of data are midway through a fiscal year, enter the fraction of the most recent fiscal year is in this data, Thus, if your were valuing Amazon in Nov 2023, and using the trailing 12 months of data through September 2023, the 3rd quarter of the 2023 fiscal year, you would enter 0.75. Enter 0.5, if your data is through the second quarter, and 0.25, if is through the first quarter.</text>
  </threadedComment>
  <threadedComment ref="B12" personId="{0F80F988-B051-7943-8010-D75DA554ADAF}" id="{AFFC9966-65E7-7849-A618-5DEF034E694A}">
    <text>Enter the operating income or EBIT from the most recent 12 months, even if that number is negative. If you have operating leases or R&amp;D and want to adjust for them, use the options below to start the process and enter the numbers in the relevant worksheets.</text>
  </threadedComment>
  <threadedComment ref="C12" personId="{0F80F988-B051-7943-8010-D75DA554ADAF}" id="{E540843E-F2A3-134C-8531-DA60E38A7694}">
    <text>Enter the operating income or EBIT from the annual report or 10K in the fiscal year prior to your most recent 12 month data.</text>
  </threadedComment>
  <threadedComment ref="B14" personId="{0F80F988-B051-7943-8010-D75DA554ADAF}" id="{77A98811-E565-A44B-A04A-39493A90F633}">
    <text>Enter the book value of equity (total) from the end of the most recent 12 months (i.e. the most recent balance sheet, either from an annual report or quarterly report). This book equity will include everything - paid in capital, retained earnings etc. and may even be negative for companies that have been losing money for a while. If your company has minority or non-controlling interests listed separately, include them in this book equity.</text>
  </threadedComment>
  <threadedComment ref="C14" personId="{0F80F988-B051-7943-8010-D75DA554ADAF}" id="{1B0C707C-9FE4-EC47-8991-BFB3094AFE63}">
    <text>Enter the book value of equity (total) from the end of the annual report in the fiscal year prior to your most recent 12 months.</text>
  </threadedComment>
  <threadedComment ref="B15" personId="{0F80F988-B051-7943-8010-D75DA554ADAF}" id="{4EBAB3AE-4130-E345-91F6-F196751794B7}">
    <text xml:space="preserve">Enter the book value of interest bearing debt (short and long term) at your company from the most recent balance sheet. If your company is capitalizing leases, and you trust the accounting calculations, include those as well. (Do not include accounts payable, supplier credit or other non-interest bearing liabilities.) </text>
  </threadedComment>
  <threadedComment ref="C15" personId="{0F80F988-B051-7943-8010-D75DA554ADAF}" id="{EEE67F91-B486-C642-BCF8-918B32B4F8EF}">
    <text>Enter the book value of interest bearing debt (short and long term) at your company from the balance sheet of the fiscal year prior to your most recent 12 months of data.</text>
  </threadedComment>
  <threadedComment ref="B16" dT="2024-02-15T12:57:50.34" personId="{B8988432-A585-3645-9E20-E422F2920603}" id="{2A62643D-C33C-9A46-A5F0-E66BADC89EAC}">
    <text>If you decide to challenge the accountants, and move an expense (like R&amp;D or customer acquisition costs) from operating to capital expenses, enter yes here, but make sure that you go into the R&amp;D worksheet and enter the numbers for your company.</text>
  </threadedComment>
  <threadedComment ref="B17" dT="2024-02-15T13:01:21.23" personId="{B8988432-A585-3645-9E20-E422F2920603}" id="{AEED2D9E-7933-0546-A108-B06B6DBDF425}">
    <text>If your have lease commitments, and accountants are not treating it as debt, or you don’t trust the accountants, enter yes to this, and make sure you enter your company’s lease commitments into the operating lease converter. (But make sure then that you do not include the accounting lease debt in total debt in the column above, or you will double count)</text>
  </threadedComment>
  <threadedComment ref="B18" personId="{0F80F988-B051-7943-8010-D75DA554ADAF}" id="{E2546F12-07E7-8E43-BAF4-4BA7F486E85D}">
    <text>Enter the cash and marketable securities in your most recent balance sheet. In most companies, this will show up under current assets, and can either show up as a consolidated item or as sub-items for cash and short term investments.</text>
  </threadedComment>
  <threadedComment ref="C18" personId="{0F80F988-B051-7943-8010-D75DA554ADAF}" id="{7036E80F-6A3B-5240-ADB4-827D900C1913}">
    <text>Enter the cash balance from the balance sheet of the fiscal year prior to your most recent twelve months.</text>
  </threadedComment>
  <threadedComment ref="B19" personId="{0F80F988-B051-7943-8010-D75DA554ADAF}" id="{4EF0786B-4C78-E749-BA0E-D37E40A13CCA}">
    <text>The most common non-operating assets are minority holdings in other companies (which are not consolidated). You can find the value of these holdings on the balance sheet, and it can be either in book value terms or marked to market. If it is book value, see if you can convert it to a market value. If it is marked to market, just enter the number on the balance sheet.</text>
  </threadedComment>
  <threadedComment ref="B20" personId="{0F80F988-B051-7943-8010-D75DA554ADAF}" id="{66B71247-062C-884C-A110-2FA7FC5BB361}">
    <text>This is a uniquely accounting item and will be on the liability side of your company's balance sheet. It reflects the requirement that if you own more than 50% of another company or have effective control of it, you have to consolidate that company's statements with yours. Thus, you count 100% of that subsidiaries assets, revenues and operating income with your company, even if you own only 60%. The minority interest reflects the book value of the 40% of the equity in the subsidiary that does not belong to you. Again, it is best if you can convert the book value to a market value by applying the price to book ratio for the sector in which the subsidiary operates</text>
  </threadedComment>
  <threadedComment ref="B21" personId="{0F80F988-B051-7943-8010-D75DA554ADAF}" id="{51B4C672-001E-AC42-885D-01422D0EE688}">
    <text>Enter the most recent update you have on the number of shares. If you have different classes of shares, aggregate them all and enter one number. Count restricted stock units (RSUs) as shares but don't count shares underlying employee options.</text>
  </threadedComment>
  <threadedComment ref="B22" personId="{0F80F988-B051-7943-8010-D75DA554ADAF}" id="{38AE7BD4-BE10-B140-8F0C-6498039783B4}">
    <text xml:space="preserve">Enter the most recent stock price (how about today's?) in here. </text>
  </threadedComment>
  <threadedComment ref="B23" personId="{0F80F988-B051-7943-8010-D75DA554ADAF}" id="{218968A8-BC08-A64F-9F0E-C67E68AA4DD8}">
    <text>Enter your effective (not marginal) tax rate for your firm. You will find this in your company's annual report. If you cannot, you can compute it as follows, from the income statement:
Effective tax rate = Taxes paid/ Taxable income
If your effective tax rate varies across years, you can use an average. If the effective tax rate is less than zero, or if you have a money losing company, don't enter zero but enter the marginal tax rate..</text>
  </threadedComment>
  <threadedComment ref="B24" personId="{0F80F988-B051-7943-8010-D75DA554ADAF}" id="{7EC7B7C4-E2EF-5C47-9F07-E86FFDCD3214}">
    <text>This is a statutory tax rate. I use the tax rate of the country the company is domiciled in. See the country equity risk premium worksheet embedded in this spreadsheet for country tax rates.</text>
  </threadedComment>
  <threadedComment ref="B26" dT="2024-02-15T13:12:54.24" personId="{B8988432-A585-3645-9E20-E422F2920603}" id="{4B2B4743-2757-3E4B-9959-BA2D9ACB4202}">
    <text>This will get you started on your revenue projections. While the bigger input will be the revenue growth rate for years 2-5, two cells down, the estimated growth in year 1 (next 12 months) is offered as a separate input for two reasons. (1) For some companies, you may be able to forecast revenues next year much better than revenues afterwards either because you have management guidance or tangible basis (contracts already in place). (2) For pre-revenue companies, where you had to enter a made-up positive number in your revenues cell, this growth rate will allow you to get a year 1 revenue that is a good starting point for forecasts.</text>
  </threadedComment>
  <threadedComment ref="B27" dT="2024-02-15T13:15:13.08" personId="{B8988432-A585-3645-9E20-E422F2920603}" id="{751B8FE4-9055-B84E-A3C8-0E4DEADB3EA0}">
    <text>Again, I am separating out the operating margin for next year, to allow you to use the superior information you may have for the near term to play out in this estimate.</text>
  </threadedComment>
  <threadedComment ref="B28" personId="{0F80F988-B051-7943-8010-D75DA554ADAF}" id="{5CA1C1D1-F4A5-8446-B5E9-71CD54EF2545}">
    <text>I don't have a crystal ball but you should look at 
a. Revenue growth in your company in recent years
b. Your company's revenues, relative to the overall market size and larger players in the sector. 
Suggestion: Check your revenues in year 10 against the overall market and see what market share are you giving your company. Check your company's revenues against other companies in the sector.
Note that this number can be negative for a declining firm.</text>
  </threadedComment>
  <threadedComment ref="B29" personId="{0F80F988-B051-7943-8010-D75DA554ADAF}" id="{3FA629D8-89D5-E143-B22C-AFE6CD0C8514}">
    <text xml:space="preserve">This is the operating margin that you expect your company to move to, over time. For mature companies, it can be close to or equal to the current operating margin. For growth companies (including money-losing), it may the industry average margin or a margin that you estimate given the business characteristics. </text>
  </threadedComment>
  <threadedComment ref="B30" personId="{0F80F988-B051-7943-8010-D75DA554ADAF}" id="{594B4E1B-3ACD-0F43-A4CB-A9BE88E089B5}">
    <text>This is the forecast year in which your current margin will converge on target.</text>
  </threadedComment>
  <threadedComment ref="B31" personId="{0F80F988-B051-7943-8010-D75DA554ADAF}" id="{AE13966B-AB4E-B34C-AB49-2D7FEA7E9120}">
    <text>You are probably wondering what this is but it is how I compute how much you are going to reinvest to keep your business growing in future years. The higher you set this number, the more efficiently you are growing and the higher the value of your growth. Again, look at your company's current number (check on the right). Look at the industry averages as well in the worksheet. (If your company has already invested for the growth for the next few years, this number can be set to a high value for the first five years, to reflect the fact that you don’t have to reinvest as much. (Also check the option at the end of the spreadsheet, to allow for a lag between reinvestment and growth)</text>
  </threadedComment>
  <threadedComment ref="B32" dT="2024-02-15T13:18:43.09" personId="{B8988432-A585-3645-9E20-E422F2920603}" id="{FBD5A24E-83BA-4543-B49C-42E85C8B9500}">
    <text>I give you a second chance to input the sales to invested capital to allow for the fact that as companies scale up they might need to reinvest less (or more) to get the same growth.</text>
  </threadedComment>
  <threadedComment ref="B34" personId="{0F80F988-B051-7943-8010-D75DA554ADAF}" id="{48C76159-0827-874B-B96B-C4FD25D34B6A}">
    <text>This should be today's long term riskfree rate. If you are working with a currency where the government has default risk, clean up the government bond rate to make it riskfree (by subtracting the default spread for the government).</text>
  </threadedComment>
  <threadedComment ref="J34" personId="{0F80F988-B051-7943-8010-D75DA554ADAF}" id="{41BD63FD-2E13-334D-AC8A-F4702E32C3C5}">
    <text>Compare to your total market and check your market share.</text>
  </threadedComment>
  <threadedComment ref="B35" personId="{0F80F988-B051-7943-8010-D75DA554ADAF}" id="{A59C3A77-9765-B147-B40F-B2F3A4E48AC3}">
    <text>Use the cost of capital worksheet to either input directly, calculate from company details on business &amp; geography mix, use an industry average or even a histogram across all companies.</text>
  </threadedComment>
  <threadedComment ref="J35" personId="{0F80F988-B051-7943-8010-D75DA554ADAF}" id="{DB629F1F-F83F-F647-853F-47BFC31610CD}">
    <text xml:space="preserve">Determined by your target margin. </text>
  </threadedComment>
  <threadedComment ref="J36" personId="{0F80F988-B051-7943-8010-D75DA554ADAF}" id="{B1F53202-2F0D-D541-9E18-76005E4E45E4}">
    <text>Function of both your target margin and your sales to capital ratio.</text>
  </threadedComment>
  <threadedComment ref="B37" dT="2024-02-15T13:23:01.81" personId="{B8988432-A585-3645-9E20-E422F2920603}" id="{3B1FC220-3FE7-E54A-96FA-E03CEFCBFDE2}">
    <text xml:space="preserve">Check your annual report or 10K for whether your companies has employee options still outstanding.  </text>
  </threadedComment>
  <threadedComment ref="B38" personId="{0F80F988-B051-7943-8010-D75DA554ADAF}" id="{635D9BDD-F56D-3A4B-BB73-B545395723F2}">
    <text xml:space="preserve">Check your company's annual report or 10K. If it does have options outstanding, enter the total number here (vested and non vested, in the money and out… </text>
  </threadedComment>
  <threadedComment ref="B39" personId="{0F80F988-B051-7943-8010-D75DA554ADAF}" id="{F6C404B5-0607-B64F-8A31-FA7F51831376}">
    <text>Enter the weighted average strike price of your options. (Should be in your 10K or annual report.)</text>
  </threadedComment>
  <threadedComment ref="B40" personId="{0F80F988-B051-7943-8010-D75DA554ADAF}" id="{84D307F5-C671-864E-A8B6-E08441B4818E}">
    <text>The weighted average maturity of your options should be reported in your financial statements.</text>
  </threadedComment>
  <threadedComment ref="B41" personId="{0F80F988-B051-7943-8010-D75DA554ADAF}" id="{2377327B-59EE-3545-8F8A-AE8AED070076}">
    <text>If you have a standard deviation for your stock, enter that number. If not, use the US and Global Industry average worksheets in this spreadsheet to look up the industry average standard deviation.</text>
  </threadedComment>
  <threadedComment ref="B46" dT="2024-02-15T13:29:34.01" personId="{B8988432-A585-3645-9E20-E422F2920603}" id="{23A45B0B-C6F1-6248-99DC-D3FB7F79095D}">
    <text>You have three choices. You can move your cost of capital to the industry average or median, over time.
That should on this page, to your right. Second, you can see the market-wide distribution in the cost of capital worksheet to look at the distribution of costs of capital across the market. Third, you can leave it at the current cost of capital by entering your initial cost of capital here.</text>
  </threadedComment>
  <threadedComment ref="B49" personId="{0F80F988-B051-7943-8010-D75DA554ADAF}" id="{C653EB8A-25F4-464F-BD99-C6B45BEA26C3}">
    <text>Even if you believe your firm has significant competitive advantages, you should expect the return on capital for a company to come down over time, at least on new projects. If you don’t see long term competitive advantages, you should just leave the cell above at No.</text>
  </threadedComment>
  <threadedComment ref="B51" dT="2024-02-15T13:32:45.96" personId="{B8988432-A585-3645-9E20-E422F2920603}" id="{BC8F5940-D88C-FF41-BFB0-C57C664414DF}">
    <text>If your company is money-losing or in decline, and you believe that there is a significant chance it will not survive, enter yes here, and the inputs below. Failure can also be caused by catastrophes or government action.</text>
  </threadedComment>
  <threadedComment ref="B52" personId="{0F80F988-B051-7943-8010-D75DA554ADAF}" id="{E70E7C6A-F80C-1541-B56C-B7B598D70448}">
    <text xml:space="preserve">Aswath Damodaran
If you want to look at ways of estimating this probability, try the failure rate worksheet embedded in this spreadsheet.  </text>
  </threadedComment>
  <threadedComment ref="B53" personId="{0F80F988-B051-7943-8010-D75DA554ADAF}" id="{2714D861-0A48-5D43-B0B4-66453AEB395D}">
    <text>If the firm fail and has to liquidate its assets, you need to specify what the liquidation proceeds will be tied to. For young growth companies, I would tie it to value and with distressed firms (especially ones with significant assets in place), I would use book value.</text>
  </threadedComment>
  <threadedComment ref="B54" personId="{0F80F988-B051-7943-8010-D75DA554ADAF}" id="{BACA5868-B98A-F34A-BB35-5BF8D7D47027}">
    <text>You will generally not get 100% of fair value. How much less than 100% you get will depend on whether there are lots of potential buyers for your assets and how much of a hurry you are in to liquidate. It may well be zero for a young growth company with no tangible assets.</text>
  </threadedComment>
  <threadedComment ref="B56" dT="2024-02-15T13:34:21.98" personId="{B8988432-A585-3645-9E20-E422F2920603}" id="{70BF85C9-F9B1-4243-88BC-086E5E41286E}">
    <text>The default in the spreadsheet is to assume that reinvestment in a year creates growth in the same year. That may work in service businesses or for companies that grow through acquisitions, but in some businesses, there will be a lag between when you invest (in a new factory or R&amp;D) and when you see revenue growth. Enter yes and the following inputs.</text>
  </threadedComment>
  <threadedComment ref="B57" dT="2024-02-15T13:36:04.00" personId="{B8988432-A585-3645-9E20-E422F2920603}" id="{D5616C1A-972E-EA45-89C6-4108E9869A9C}">
    <text>The default is set to zero (contemporaneous growth, but you can a lag up to three years between investment and growth)</text>
  </threadedComment>
  <threadedComment ref="B59" dT="2024-02-15T13:38:16.33" personId="{B8988432-A585-3645-9E20-E422F2920603}" id="{864108E8-64F4-C649-B7F6-27546ED36042}">
    <text>In general, it is prudent to assume that your company, no matter how capable it is on the tax management front, will eventually have to pay its marginal tax rate. There are some companies, though, where the low effective tax rate comes from structural factors (revenues from low-tax locales), rather than tax deferral, and you may want to leave the effective tax rate unchanged.</text>
  </threadedComment>
  <threadedComment ref="B62" personId="{0F80F988-B051-7943-8010-D75DA554ADAF}" id="{52953B18-6ABF-C140-A50D-98AA9E44D651}">
    <text>This is the NOL from prior years carried forward into this year. Check the footnotes to your financial statements to see if there are any loss carry forwards.</text>
  </threadedComment>
  <threadedComment ref="B64" dT="2024-02-15T13:42:30.70" personId="{B8988432-A585-3645-9E20-E422F2920603}" id="{25389A54-C635-ED40-849A-EEB0EC5D59A1}">
    <text>My advice, in most cases is to leave this as no, and I will leave the current riskfree rate unchanged in perpetuity. If you do feel that interest rates will change over time, and you are inclined to forecast that level (normalized, historical average, etc.), enter yes, and the expected interest rate below.</text>
  </threadedComment>
  <threadedComment ref="B65" dT="2024-02-15T13:43:05.44" personId="{B8988432-A585-3645-9E20-E422F2920603}" id="{2C7CA6D9-70A4-454D-A0BD-19CB3A5D02DF}">
    <text>This is your forecast for the long-term, default free rate in the currency that you are working with, ten years from now.</text>
  </threadedComment>
  <threadedComment ref="B67" dT="2024-02-15T13:44:07.86" personId="{B8988432-A585-3645-9E20-E422F2920603}" id="{997F1F94-CD24-FE40-933F-77DF8B8E547F}">
    <text>Leave this  at no,  for the most part, but use yes, if you have a firm that you see declining after year 10 or growing at a rate much lower than the rest of the economy.</text>
  </threadedComment>
  <threadedComment ref="B68" personId="{0F80F988-B051-7943-8010-D75DA554ADAF}" id="{FC146819-31BC-CD4B-BB8F-10573BD83B4A}">
    <text xml:space="preserve">Be VERY, VERY careful. This is a growth rate in perpetuity, after year 10. Entering numbers significantly (more than 1%) higher than the risk free rate will render your valuation close to useless.
</text>
  </threadedComment>
  <threadedComment ref="B70" dT="2024-02-15T13:45:59.57" personId="{B8988432-A585-3645-9E20-E422F2920603}" id="{3402EFD0-3B2F-EB41-AC9A-ADE509BA8833}">
    <text>US tax law no longer has the global taxation feature that it used to have prior to 2017. So, no is the better answer. However, it the tax laws revert back to pre-2017 standards, this option will come into play, as companies part their cash outside the US.</text>
  </threadedComment>
  <threadedComment ref="B71" personId="{0F80F988-B051-7943-8010-D75DA554ADAF}" id="{486B0BE4-91F5-A947-86B6-995AD147925C}">
    <text>If your concern is that a portion of the cash is trapped in foreign markets and will be subject to tax, when returned, enter the trapped cash balance. If you feel that the entire cash balance is being discounted because markets don't trust managers, enter the entire cash balance.</text>
  </threadedComment>
  <threadedComment ref="B72" personId="{0F80F988-B051-7943-8010-D75DA554ADAF}" id="{BC724579-4871-0448-B3E6-EFAC6D77BD38}">
    <text>This is the additional tax due, if the cash is trapped cash. If your concern is that all cash is being discounted by the market because of management mistrust, enter the percentage discount to apply to cash.</text>
  </threadedComment>
</ThreadedComments>
</file>

<file path=xl/threadedComments/threadedComment2.xml><?xml version="1.0" encoding="utf-8"?>
<ThreadedComments xmlns="http://schemas.microsoft.com/office/spreadsheetml/2018/threadedcomments" xmlns:x="http://schemas.openxmlformats.org/spreadsheetml/2006/main">
  <threadedComment ref="F8" personId="{0F80F988-B051-7943-8010-D75DA554ADAF}" id="{AA550503-3638-E344-A76C-EC9EE16E8E35}">
    <text xml:space="preserve">If your most recent year's operating income is unusually low or high, you can use the average operating income from the last few years. </text>
  </threadedComment>
  <threadedComment ref="F9" personId="{0F80F988-B051-7943-8010-D75DA554ADAF}" id="{0773F50D-8F4A-8942-A093-8D85A28A7EFC}">
    <text>Enter the interest expense from the most recent income statement.</text>
  </threadedComment>
  <threadedComment ref="F10" personId="{0F80F988-B051-7943-8010-D75DA554ADAF}" id="{92B75667-258A-9041-A90E-BA34684C64D8}">
    <text>I use a 10 year government bond rate.</text>
  </threadedComment>
</ThreadedComments>
</file>

<file path=xl/threadedComments/threadedComment3.xml><?xml version="1.0" encoding="utf-8"?>
<ThreadedComments xmlns="http://schemas.microsoft.com/office/spreadsheetml/2018/threadedcomments" xmlns:x="http://schemas.openxmlformats.org/spreadsheetml/2006/main">
  <threadedComment ref="F7" dT="2024-02-15T13:50:32.06" personId="{B8988432-A585-3645-9E20-E422F2920603}" id="{BC7D716B-CF00-F547-AE72-E2F45BCC1F61}">
    <text>Enter the R&amp;D expense in the most recent 12 months of data.</text>
  </threadedComment>
  <threadedComment ref="B10" dT="2024-02-15T13:51:20.64" personId="{B8988432-A585-3645-9E20-E422F2920603}" id="{ED7E82EC-F310-0248-9E9E-817504C4829B}">
    <text>Enter the R&amp;D expenses from the years before the last 12 months, starting with the last year (-1), the year before that (-2) etc..</text>
  </threadedComment>
  <threadedComment ref="D40" personId="{0F80F988-B051-7943-8010-D75DA554ADAF}" id="{592C6C60-5223-4B45-8A69-B291166B7E7E}">
    <text>By expensing R&amp;D rather than capitalizing it, the firm gets a tax benefit. This is the dollar value of that tax benefit.</text>
  </threadedComment>
</ThreadedComments>
</file>

<file path=xl/threadedComments/threadedComment4.xml><?xml version="1.0" encoding="utf-8"?>
<ThreadedComments xmlns="http://schemas.microsoft.com/office/spreadsheetml/2018/threadedcomments" xmlns:x="http://schemas.openxmlformats.org/spreadsheetml/2006/main">
  <threadedComment ref="E4" dT="2024-02-15T13:52:05.27" personId="{B8988432-A585-3645-9E20-E422F2920603}" id="{4E9D46C3-9490-AE49-9C1C-FE39D8287CF7}">
    <text>Enter the operating lease expense in the most recent 12 months.</text>
  </threadedComment>
  <threadedComment ref="B6" dT="2024-02-15T13:53:08.40" personId="{B8988432-A585-3645-9E20-E422F2920603}" id="{088A5D00-F7DB-F641-B5E4-2511B8451119}">
    <text>Enter the expected contractual lease commitments in future years, with a lump=sum after year 5. US companies report these numbers in the footnotes. European companies sometimes report them with years lumped together (Years 1&amp;2, Years 3 through 5). If that is the case, take the annual averages and enter them in these cells.</text>
  </threadedComment>
</ThreadedComments>
</file>

<file path=xl/threadedComments/threadedComment5.xml><?xml version="1.0" encoding="utf-8"?>
<ThreadedComments xmlns="http://schemas.microsoft.com/office/spreadsheetml/2018/threadedcomments" xmlns:x="http://schemas.openxmlformats.org/spreadsheetml/2006/main">
  <threadedComment ref="B23" personId="{0F80F988-B051-7943-8010-D75DA554ADAF}" id="{A23E286D-FDA4-E04B-B2B6-8101484E8233}">
    <text>If you input a beta directly, I will unlever that beta using the current debt to equity ratio.</text>
  </threadedComment>
  <threadedComment ref="B25" personId="{0F80F988-B051-7943-8010-D75DA554ADAF}" id="{E56104C5-7C66-F848-B455-D4DEB1B906C4}">
    <text>If you pick operating regions or countries, please input the revenues by country or region in the table to the right.</text>
  </threadedComment>
  <threadedComment ref="B27" personId="{0F80F988-B051-7943-8010-D75DA554ADAF}" id="{48141766-7F07-C447-89ED-3E1A81023B2B}">
    <text>If your company has risk exposure in emergiing markets, incorporate that risk premiums here. See worksheet on country risk premiums.</text>
  </threadedComment>
  <threadedComment ref="B31" personId="{0F80F988-B051-7943-8010-D75DA554ADAF}" id="{568DD258-B547-7D4B-8EA5-8936C8A36C7A}">
    <text>Interest expense (gross) from most recent financial statement.</text>
  </threadedComment>
  <threadedComment ref="B32" personId="{0F80F988-B051-7943-8010-D75DA554ADAF}" id="{0B49E534-4839-224A-A0D8-3E69E03A9811}">
    <text>Generally found in footnotes to financial statements. If you cannot find it, enter zero,</text>
  </threadedComment>
  <threadedComment ref="B33" dT="2024-02-15T13:59:05.23" personId="{B8988432-A585-3645-9E20-E422F2920603}" id="{5A91BFC2-E30D-1B4A-87B9-BB138BF07698}">
    <text>Check to see if your company has a bond rating from S&amp;P or Moodys and if it does, pick actual rating. Otherwise, you will have to use a rating based upon the interest coverage ratio. You can also override this choice, and directly input the pre-tax cost of debt by adding a default spread to your riskfree rate.</text>
  </threadedComment>
  <threadedComment ref="B35" dT="2024-02-15T14:01:00.10" personId="{B8988432-A585-3645-9E20-E422F2920603}" id="{99D69372-A294-2A49-8F68-E27D38561195}">
    <text>If you cannot find your rating on this pulldown menu, pick the closest one you can find.</text>
  </threadedComment>
  <threadedComment ref="B36" personId="{0F80F988-B051-7943-8010-D75DA554ADAF}" id="{CDB18AC1-A933-1F49-84C1-AA536ECAB35B}">
    <text>This input is used only when you pick the synthetic rating option.
1: Large market cap (&gt;$5 billion) and safe.
2: Small market cap (&lt;$5 billion) or risky.
If company has volatile earnings or is in risky business, use 2, even if large market cap.</text>
  </threadedComment>
  <threadedComment ref="B37" personId="{0F80F988-B051-7943-8010-D75DA554ADAF}" id="{40F47070-A7F9-764E-BF6F-3CDF01F6763D}">
    <text>Current, long term cost of borrowing money. If you have a rating use it, if not use a synthetic rating. See the worksheet attached.</text>
  </threadedComment>
</ThreadedComments>
</file>

<file path=xl/threadedComments/threadedComment6.xml><?xml version="1.0" encoding="utf-8"?>
<ThreadedComments xmlns="http://schemas.microsoft.com/office/spreadsheetml/2018/threadedcomments" xmlns:x="http://schemas.openxmlformats.org/spreadsheetml/2006/main">
  <threadedComment ref="B1" personId="{4042FB09-E9EB-D84D-8E02-872BC23B2B37}" id="{C3B82CD1-0285-F746-B2B0-DC065BFFA19E}">
    <text>This is the estimate for the ERP for a mature market, that then updates all of the ERP for other countries by adding the CRP to it. I update the ERP for the S&amp;P 500 at the start of every month on my website (damodaran.com) and if you want, you can change this number to the most recent update.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s://youtu.be/kyKfJ_7-mdg?si=FIeHhnLH2_2brag3"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2.xml.rels><?xml version="1.0" encoding="UTF-8" standalone="yes"?>
<Relationships xmlns="http://schemas.openxmlformats.org/package/2006/relationships"><Relationship Id="rId3" Type="http://schemas.microsoft.com/office/2017/10/relationships/threadedComment" Target="../threadedComments/threadedComment6.xml"/><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table" Target="../tables/table1.xml"/><Relationship Id="rId1" Type="http://schemas.openxmlformats.org/officeDocument/2006/relationships/vmlDrawing" Target="../drawings/vmlDrawing3.vml"/><Relationship Id="rId4" Type="http://schemas.microsoft.com/office/2017/10/relationships/threadedComment" Target="../threadedComments/threadedComment3.xml"/></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4"/>
  <sheetViews>
    <sheetView tabSelected="1" topLeftCell="B1" zoomScaleNormal="100" workbookViewId="0">
      <selection activeCell="L25" sqref="L25"/>
    </sheetView>
  </sheetViews>
  <sheetFormatPr baseColWidth="10" defaultRowHeight="12"/>
  <cols>
    <col min="1" max="1" width="73.6640625" style="3" customWidth="1"/>
    <col min="2" max="2" width="26.5" style="3" customWidth="1"/>
    <col min="3" max="3" width="23.1640625" style="3" customWidth="1"/>
    <col min="4" max="4" width="19.6640625" style="3" customWidth="1"/>
    <col min="5" max="7" width="10.83203125" style="3"/>
    <col min="8" max="8" width="11" style="3" bestFit="1" customWidth="1"/>
    <col min="9" max="9" width="21.83203125" style="3" customWidth="1"/>
    <col min="10" max="10" width="15" style="3" bestFit="1" customWidth="1"/>
    <col min="11" max="11" width="17.5" style="3" bestFit="1" customWidth="1"/>
    <col min="12" max="16384" width="10.83203125" style="3"/>
  </cols>
  <sheetData>
    <row r="1" spans="1:10" s="188" customFormat="1" ht="16">
      <c r="B1" s="225"/>
      <c r="C1" s="188" t="s">
        <v>738</v>
      </c>
      <c r="D1" s="226"/>
      <c r="E1" s="188" t="s">
        <v>739</v>
      </c>
    </row>
    <row r="2" spans="1:10" s="189" customFormat="1" ht="16"/>
    <row r="3" spans="1:10" s="189" customFormat="1" ht="16">
      <c r="A3" s="190" t="s">
        <v>363</v>
      </c>
      <c r="B3" s="191">
        <v>44592</v>
      </c>
      <c r="C3" s="387" t="s">
        <v>892</v>
      </c>
      <c r="D3" s="388"/>
      <c r="E3" s="388"/>
      <c r="F3" s="388"/>
      <c r="G3" s="388"/>
      <c r="H3" s="388"/>
      <c r="I3" s="388"/>
      <c r="J3" s="389"/>
    </row>
    <row r="4" spans="1:10" s="189" customFormat="1" ht="17" thickBot="1">
      <c r="A4" s="190" t="s">
        <v>28</v>
      </c>
      <c r="B4" s="397" t="s">
        <v>985</v>
      </c>
      <c r="C4" s="390" t="s">
        <v>90</v>
      </c>
      <c r="D4" s="391"/>
      <c r="E4" s="391"/>
      <c r="F4" s="391"/>
      <c r="G4" s="391"/>
      <c r="H4" s="391"/>
      <c r="I4" s="391"/>
      <c r="J4" s="392"/>
    </row>
    <row r="5" spans="1:10" s="189" customFormat="1" ht="17" thickBot="1">
      <c r="A5" s="502" t="s">
        <v>893</v>
      </c>
      <c r="B5" s="503"/>
      <c r="C5" s="503"/>
      <c r="D5" s="503"/>
      <c r="E5" s="503"/>
      <c r="F5" s="503"/>
      <c r="G5" s="503"/>
      <c r="H5" s="503"/>
      <c r="I5" s="503"/>
      <c r="J5" s="504"/>
    </row>
    <row r="6" spans="1:10" s="189" customFormat="1" ht="17" thickBot="1">
      <c r="A6" s="190" t="s">
        <v>894</v>
      </c>
      <c r="B6" s="190"/>
      <c r="C6" s="190"/>
      <c r="E6"/>
      <c r="F6"/>
      <c r="G6"/>
      <c r="H6"/>
      <c r="I6"/>
      <c r="J6"/>
    </row>
    <row r="7" spans="1:10" s="189" customFormat="1" ht="16">
      <c r="A7" s="189" t="s">
        <v>416</v>
      </c>
      <c r="B7" s="192" t="s">
        <v>311</v>
      </c>
      <c r="C7" s="190"/>
      <c r="F7" s="516" t="s">
        <v>970</v>
      </c>
      <c r="G7" s="517"/>
      <c r="H7" s="517"/>
      <c r="I7" s="518"/>
    </row>
    <row r="8" spans="1:10" s="189" customFormat="1" ht="16">
      <c r="A8" s="189" t="s">
        <v>407</v>
      </c>
      <c r="B8" s="192" t="s">
        <v>661</v>
      </c>
      <c r="F8" s="519"/>
      <c r="G8" s="520"/>
      <c r="H8" s="520"/>
      <c r="I8" s="521"/>
    </row>
    <row r="9" spans="1:10" s="189" customFormat="1" ht="16">
      <c r="A9" s="189" t="s">
        <v>408</v>
      </c>
      <c r="B9" s="192" t="s">
        <v>661</v>
      </c>
      <c r="C9"/>
      <c r="D9"/>
      <c r="F9" s="519"/>
      <c r="G9" s="520"/>
      <c r="H9" s="520"/>
      <c r="I9" s="521"/>
    </row>
    <row r="10" spans="1:10" s="189" customFormat="1" ht="16">
      <c r="B10" s="344" t="s">
        <v>891</v>
      </c>
      <c r="C10" s="344" t="s">
        <v>969</v>
      </c>
      <c r="D10" s="395" t="s">
        <v>496</v>
      </c>
      <c r="F10" s="519"/>
      <c r="G10" s="520"/>
      <c r="H10" s="520"/>
      <c r="I10" s="521"/>
    </row>
    <row r="11" spans="1:10" s="189" customFormat="1" ht="17" thickBot="1">
      <c r="A11" s="194" t="s">
        <v>5</v>
      </c>
      <c r="B11" s="195">
        <v>21765.4</v>
      </c>
      <c r="C11" s="394">
        <v>20979.5</v>
      </c>
      <c r="D11" s="515">
        <v>0.5</v>
      </c>
      <c r="F11" s="522"/>
      <c r="G11" s="523"/>
      <c r="H11" s="523"/>
      <c r="I11" s="524"/>
    </row>
    <row r="12" spans="1:10" s="189" customFormat="1" ht="16">
      <c r="A12" s="194" t="s">
        <v>23</v>
      </c>
      <c r="B12" s="195">
        <v>3060.9</v>
      </c>
      <c r="C12" s="394">
        <v>3064.1</v>
      </c>
      <c r="D12" s="515"/>
    </row>
    <row r="13" spans="1:10" s="189" customFormat="1" ht="16">
      <c r="A13" s="194" t="s">
        <v>409</v>
      </c>
      <c r="B13" s="195">
        <v>493.4</v>
      </c>
      <c r="C13" s="394">
        <v>562.70000000000005</v>
      </c>
      <c r="D13" s="515"/>
    </row>
    <row r="14" spans="1:10" s="189" customFormat="1" ht="16">
      <c r="A14" s="194" t="s">
        <v>24</v>
      </c>
      <c r="B14" s="195">
        <v>10667.8</v>
      </c>
      <c r="C14" s="394">
        <v>13111.1</v>
      </c>
      <c r="D14" s="515"/>
    </row>
    <row r="15" spans="1:10" s="189" customFormat="1" ht="16">
      <c r="A15" s="194" t="s">
        <v>25</v>
      </c>
      <c r="B15" s="195">
        <v>45063</v>
      </c>
      <c r="C15" s="394">
        <v>44544</v>
      </c>
      <c r="D15" s="515"/>
    </row>
    <row r="16" spans="1:10" s="189" customFormat="1" ht="16">
      <c r="A16" s="194" t="s">
        <v>399</v>
      </c>
      <c r="B16" s="197" t="s">
        <v>44</v>
      </c>
      <c r="C16" s="396" t="s">
        <v>832</v>
      </c>
      <c r="D16" s="196"/>
    </row>
    <row r="17" spans="1:14" s="189" customFormat="1" ht="16">
      <c r="A17" s="194" t="s">
        <v>225</v>
      </c>
      <c r="B17" s="197" t="s">
        <v>44</v>
      </c>
      <c r="C17" s="196" t="s">
        <v>833</v>
      </c>
      <c r="D17" s="196"/>
    </row>
    <row r="18" spans="1:14" s="189" customFormat="1" ht="16">
      <c r="A18" s="194" t="s">
        <v>482</v>
      </c>
      <c r="B18" s="195">
        <v>19000</v>
      </c>
      <c r="C18" s="195">
        <v>13663</v>
      </c>
      <c r="D18" s="196"/>
    </row>
    <row r="19" spans="1:14" s="189" customFormat="1" ht="16">
      <c r="A19" s="194" t="s">
        <v>483</v>
      </c>
      <c r="B19" s="198">
        <v>21119</v>
      </c>
      <c r="C19" s="195">
        <v>21644</v>
      </c>
      <c r="D19" s="196"/>
    </row>
    <row r="20" spans="1:14" s="189" customFormat="1" ht="17" thickBot="1">
      <c r="A20" s="194" t="s">
        <v>368</v>
      </c>
      <c r="B20" s="198">
        <v>1558</v>
      </c>
      <c r="C20" s="195">
        <v>1539</v>
      </c>
      <c r="D20" s="196"/>
    </row>
    <row r="21" spans="1:14" s="189" customFormat="1" ht="16">
      <c r="A21" s="194" t="s">
        <v>26</v>
      </c>
      <c r="B21" s="199">
        <v>4315</v>
      </c>
      <c r="C21" s="196"/>
      <c r="E21" s="512" t="s">
        <v>224</v>
      </c>
      <c r="F21" s="513"/>
      <c r="G21" s="513"/>
      <c r="H21" s="513"/>
      <c r="I21" s="513"/>
      <c r="J21" s="513"/>
      <c r="K21" s="513"/>
      <c r="L21" s="513"/>
      <c r="M21" s="513"/>
      <c r="N21" s="514"/>
    </row>
    <row r="22" spans="1:14" s="189" customFormat="1" ht="16">
      <c r="A22" s="194" t="s">
        <v>27</v>
      </c>
      <c r="B22" s="195">
        <v>72.28</v>
      </c>
      <c r="C22" s="196"/>
      <c r="E22" s="406" t="s">
        <v>402</v>
      </c>
      <c r="N22" s="407"/>
    </row>
    <row r="23" spans="1:14" s="189" customFormat="1" ht="16">
      <c r="A23" s="189" t="s">
        <v>94</v>
      </c>
      <c r="B23" s="200">
        <v>0.17499999999999999</v>
      </c>
      <c r="C23" s="196"/>
      <c r="E23" s="408"/>
      <c r="J23" s="193" t="s">
        <v>407</v>
      </c>
      <c r="K23" s="193" t="s">
        <v>408</v>
      </c>
      <c r="L23" s="510" t="s">
        <v>820</v>
      </c>
      <c r="M23" s="510"/>
      <c r="N23" s="511"/>
    </row>
    <row r="24" spans="1:14" s="189" customFormat="1" ht="16">
      <c r="A24" s="189" t="s">
        <v>95</v>
      </c>
      <c r="B24" s="200">
        <v>0.25</v>
      </c>
      <c r="C24" s="196"/>
      <c r="E24" s="408"/>
      <c r="I24" s="426" t="s">
        <v>221</v>
      </c>
      <c r="J24" s="421" t="s">
        <v>819</v>
      </c>
      <c r="K24" s="344" t="s">
        <v>819</v>
      </c>
      <c r="L24" s="344" t="s">
        <v>821</v>
      </c>
      <c r="M24" s="344" t="s">
        <v>729</v>
      </c>
      <c r="N24" s="409" t="s">
        <v>822</v>
      </c>
    </row>
    <row r="25" spans="1:14" s="189" customFormat="1" ht="16">
      <c r="A25" s="190" t="s">
        <v>29</v>
      </c>
      <c r="B25" s="201"/>
      <c r="C25" s="196"/>
      <c r="E25" s="410" t="s">
        <v>159</v>
      </c>
      <c r="I25" s="427">
        <f>IF(C11&gt;0,(B11/C11)^(1/D11)-1, "NA")</f>
        <v>7.6324035895078524E-2</v>
      </c>
      <c r="J25" s="422">
        <f>VLOOKUP(B8,'Industry Averages(US)'!A2:S95,3)</f>
        <v>7.1580217391304352E-2</v>
      </c>
      <c r="K25" s="346">
        <f>VLOOKUP(B9,'Industry Averages (Global)'!A2:N95,3)</f>
        <v>9.6518456561922261E-2</v>
      </c>
      <c r="L25" s="345">
        <f>VLOOKUP($B$9,'Input Stat Distributioons'!$A$3:$T$96,3,FALSE)</f>
        <v>1.9900000000000001E-2</v>
      </c>
      <c r="M25" s="345">
        <f>VLOOKUP($B$9,'Input Stat Distributioons'!$A$3:$T$96,4,FALSE)</f>
        <v>5.4299999999999987E-2</v>
      </c>
      <c r="N25" s="411">
        <f>VLOOKUP($B$9,'Input Stat Distributioons'!$A$3:$T$96,5,FALSE)</f>
        <v>0.115</v>
      </c>
    </row>
    <row r="26" spans="1:14" s="189" customFormat="1" ht="16">
      <c r="A26" s="204" t="s">
        <v>600</v>
      </c>
      <c r="B26" s="205">
        <v>0.05</v>
      </c>
      <c r="C26" s="196" t="s">
        <v>854</v>
      </c>
      <c r="E26" s="410" t="s">
        <v>160</v>
      </c>
      <c r="I26" s="427">
        <f>'Valuation output'!B4</f>
        <v>0.14063146094259696</v>
      </c>
      <c r="J26" s="423">
        <f>VLOOKUP(B8,'Industry Averages(US)'!A2:AA95,4)</f>
        <v>0.10630698109862798</v>
      </c>
      <c r="K26" s="346">
        <f>VLOOKUP(B9,'Industry Averages (Global)'!A2:N95,4)</f>
        <v>8.5358248393229127E-2</v>
      </c>
      <c r="L26" s="346">
        <f>VLOOKUP($B$9,'Input Stat Distributioons'!$A$3:$T$96,6,FALSE)</f>
        <v>1.35663082437276E-2</v>
      </c>
      <c r="M26" s="346">
        <f>VLOOKUP($B$9,'Input Stat Distributioons'!$A$3:$T$96,7,FALSE)</f>
        <v>5.2530635798906947E-2</v>
      </c>
      <c r="N26" s="412">
        <f>VLOOKUP($B$9,'Input Stat Distributioons'!$A$3:$T$96,8,FALSE)</f>
        <v>0.102112676056338</v>
      </c>
    </row>
    <row r="27" spans="1:14" s="189" customFormat="1" ht="16">
      <c r="A27" s="204" t="s">
        <v>602</v>
      </c>
      <c r="B27" s="205">
        <f>I26</f>
        <v>0.14063146094259696</v>
      </c>
      <c r="C27" s="196" t="s">
        <v>857</v>
      </c>
      <c r="E27" s="410" t="s">
        <v>161</v>
      </c>
      <c r="I27" s="428">
        <f>B11/'Valuation output'!B39</f>
        <v>0.59256536748450894</v>
      </c>
      <c r="J27" s="424">
        <f>VLOOKUP(B8,'Industry Averages(US)'!A2:S95,14)</f>
        <v>1.7091989611020568</v>
      </c>
      <c r="K27" s="347">
        <f>VLOOKUP(B9,'Industry Averages (Global)'!A2:N95,14)</f>
        <v>1.7085376710318929</v>
      </c>
      <c r="L27" s="347">
        <f>VLOOKUP($B$9,'Input Stat Distributioons'!$A$3:$T$96,9,FALSE)</f>
        <v>0.90469362073939052</v>
      </c>
      <c r="M27" s="347">
        <f>VLOOKUP($B$9,'Input Stat Distributioons'!$A$3:$T$96,10,FALSE)</f>
        <v>1.5399460688415381</v>
      </c>
      <c r="N27" s="413">
        <f>VLOOKUP($B$9,'Input Stat Distributioons'!$A$3:$T$96,11,FALSE)</f>
        <v>2.466922164431061</v>
      </c>
    </row>
    <row r="28" spans="1:14" s="189" customFormat="1" ht="16">
      <c r="A28" s="194" t="s">
        <v>601</v>
      </c>
      <c r="B28" s="206">
        <f>B26</f>
        <v>0.05</v>
      </c>
      <c r="C28" s="196" t="s">
        <v>855</v>
      </c>
      <c r="E28" s="410" t="s">
        <v>824</v>
      </c>
      <c r="I28" s="428" t="str">
        <f>IF(('Input sheet'!B11-'Input sheet'!C11)/(('Input sheet'!B14+'Input sheet'!B15-'Input sheet'!B18)-('Input sheet'!C14+'Input sheet'!C15-'Input sheet'!C18))&gt;0,('Input sheet'!B11-'Input sheet'!C11)/(('Input sheet'!B14+'Input sheet'!B15-'Input sheet'!B18)-('Input sheet'!C14+'Input sheet'!C15-'Input sheet'!C18)),"NA")</f>
        <v>NA</v>
      </c>
      <c r="J28" s="425"/>
      <c r="K28" s="393"/>
      <c r="L28" s="213"/>
      <c r="M28" s="213"/>
      <c r="N28" s="414"/>
    </row>
    <row r="29" spans="1:14" s="189" customFormat="1" ht="16">
      <c r="A29" s="194" t="s">
        <v>831</v>
      </c>
      <c r="B29" s="206">
        <f>B27</f>
        <v>0.14063146094259696</v>
      </c>
      <c r="C29" s="196" t="s">
        <v>856</v>
      </c>
      <c r="E29" s="410" t="s">
        <v>162</v>
      </c>
      <c r="I29" s="429">
        <f>'Valuation output'!B7/'Valuation output'!B39</f>
        <v>6.8749999999999992E-2</v>
      </c>
      <c r="J29" s="423">
        <f>VLOOKUP(B8,'Industry Averages(US)'!A2:S95,5)</f>
        <v>0.15949707214923414</v>
      </c>
      <c r="K29" s="346">
        <f>VLOOKUP(B9,'Industry Averages (Global)'!A2:N95,5)</f>
        <v>0.11973510077420262</v>
      </c>
      <c r="L29"/>
      <c r="M29"/>
      <c r="N29" s="415"/>
    </row>
    <row r="30" spans="1:14" s="189" customFormat="1" ht="16">
      <c r="A30" s="194" t="s">
        <v>714</v>
      </c>
      <c r="B30" s="207">
        <v>5</v>
      </c>
      <c r="C30" s="196" t="s">
        <v>535</v>
      </c>
      <c r="E30" s="410" t="s">
        <v>362</v>
      </c>
      <c r="I30" s="430"/>
      <c r="J30" s="423">
        <f>VLOOKUP(B8,'Industry Averages(US)'!A2:S95,10)</f>
        <v>0.4346763943257051</v>
      </c>
      <c r="K30" s="346">
        <f>VLOOKUP(B8,'Industry Averages (Global)'!A2:Z95,10)</f>
        <v>0.33904800918943917</v>
      </c>
      <c r="L30"/>
      <c r="M30"/>
      <c r="N30" s="415"/>
    </row>
    <row r="31" spans="1:14" s="189" customFormat="1" ht="17" thickBot="1">
      <c r="A31" s="194" t="s">
        <v>823</v>
      </c>
      <c r="B31" s="207">
        <f>K27</f>
        <v>1.7085376710318929</v>
      </c>
      <c r="C31" s="196" t="s">
        <v>852</v>
      </c>
      <c r="E31" s="416" t="s">
        <v>361</v>
      </c>
      <c r="F31" s="417"/>
      <c r="G31" s="417"/>
      <c r="H31" s="417"/>
      <c r="I31" s="429">
        <f>B35</f>
        <v>7.0550157406465405E-2</v>
      </c>
      <c r="J31" s="420">
        <f>VLOOKUP(B8,'Industry Averages(US)'!A2:S95,13)</f>
        <v>5.7893819913489727E-2</v>
      </c>
      <c r="K31" s="418">
        <f>VLOOKUP(B8,'Industry Averages (Global)'!A2:Z95,13)</f>
        <v>6.8144268698579313E-2</v>
      </c>
      <c r="L31" s="418">
        <f>VLOOKUP($B$9,'Input Stat Distributioons'!$A$3:$T$96,12,FALSE)</f>
        <v>6.6154324026117012E-2</v>
      </c>
      <c r="M31" s="418">
        <f>VLOOKUP($B$9,'Input Stat Distributioons'!$A$3:$T$96,13,FALSE)</f>
        <v>7.1779666064438349E-2</v>
      </c>
      <c r="N31" s="419">
        <f>VLOOKUP($B$9,'Input Stat Distributioons'!$A$3:$T$96,14,FALSE)</f>
        <v>7.9117503101712533E-2</v>
      </c>
    </row>
    <row r="32" spans="1:14" s="189" customFormat="1" ht="17" thickBot="1">
      <c r="A32" s="194" t="s">
        <v>621</v>
      </c>
      <c r="B32" s="207">
        <f>B31</f>
        <v>1.7085376710318929</v>
      </c>
      <c r="C32" s="196" t="s">
        <v>853</v>
      </c>
    </row>
    <row r="33" spans="1:14" s="189" customFormat="1" ht="16">
      <c r="A33" s="190" t="s">
        <v>30</v>
      </c>
      <c r="B33" s="210"/>
      <c r="C33" s="196"/>
      <c r="E33" s="505" t="s">
        <v>484</v>
      </c>
      <c r="F33" s="506"/>
      <c r="G33" s="506"/>
      <c r="H33" s="506"/>
      <c r="I33" s="506"/>
      <c r="J33" s="507"/>
    </row>
    <row r="34" spans="1:14" s="189" customFormat="1" ht="16">
      <c r="A34" s="194" t="s">
        <v>21</v>
      </c>
      <c r="B34" s="206">
        <v>4.58E-2</v>
      </c>
      <c r="C34" s="196"/>
      <c r="E34" s="202" t="s">
        <v>485</v>
      </c>
      <c r="J34" s="209">
        <f>'Valuation output'!M3</f>
        <v>36634.400338285144</v>
      </c>
    </row>
    <row r="35" spans="1:14" s="189" customFormat="1" ht="25" customHeight="1">
      <c r="A35" s="339" t="s">
        <v>32</v>
      </c>
      <c r="B35" s="340">
        <f>'Cost of capital worksheet'!B13</f>
        <v>7.0550157406465405E-2</v>
      </c>
      <c r="C35" s="508" t="s">
        <v>735</v>
      </c>
      <c r="D35" s="509"/>
      <c r="E35" s="202" t="s">
        <v>487</v>
      </c>
      <c r="J35" s="209">
        <f>'Valuation output'!M5</f>
        <v>5151.9492403290078</v>
      </c>
    </row>
    <row r="36" spans="1:14" s="189" customFormat="1" ht="16">
      <c r="A36" s="190" t="s">
        <v>80</v>
      </c>
      <c r="B36" s="212"/>
      <c r="C36" s="212"/>
      <c r="D36" s="196"/>
      <c r="E36" s="202" t="s">
        <v>486</v>
      </c>
      <c r="J36" s="203">
        <f>'Valuation output'!L40</f>
        <v>8.4244127198829191E-2</v>
      </c>
    </row>
    <row r="37" spans="1:14" s="189" customFormat="1" ht="17" thickBot="1">
      <c r="A37" s="189" t="s">
        <v>227</v>
      </c>
      <c r="B37" s="197" t="s">
        <v>44</v>
      </c>
      <c r="C37" s="187"/>
      <c r="D37" s="196"/>
      <c r="E37" s="320" t="s">
        <v>488</v>
      </c>
      <c r="F37" s="208"/>
      <c r="G37" s="208"/>
      <c r="H37" s="208"/>
      <c r="I37" s="208"/>
      <c r="J37" s="211"/>
    </row>
    <row r="38" spans="1:14" s="189" customFormat="1" ht="16">
      <c r="A38" s="189" t="s">
        <v>81</v>
      </c>
      <c r="B38" s="207">
        <v>7.72</v>
      </c>
      <c r="C38" s="213"/>
      <c r="D38" s="196"/>
    </row>
    <row r="39" spans="1:14" s="216" customFormat="1" ht="16">
      <c r="A39" s="189" t="s">
        <v>82</v>
      </c>
      <c r="B39" s="214">
        <v>1.29</v>
      </c>
      <c r="C39" s="215"/>
      <c r="D39" s="196"/>
      <c r="E39" s="189"/>
      <c r="F39" s="189"/>
      <c r="G39" s="189"/>
      <c r="H39" s="189"/>
      <c r="I39" s="189"/>
      <c r="J39" s="189"/>
      <c r="K39" s="189"/>
      <c r="L39" s="189"/>
      <c r="M39" s="189"/>
      <c r="N39" s="189"/>
    </row>
    <row r="40" spans="1:14" s="189" customFormat="1" ht="16">
      <c r="A40" s="189" t="s">
        <v>83</v>
      </c>
      <c r="B40" s="207">
        <v>7</v>
      </c>
      <c r="C40" s="213"/>
      <c r="D40" s="196"/>
    </row>
    <row r="41" spans="1:14" s="189" customFormat="1" ht="16">
      <c r="A41" s="189" t="s">
        <v>84</v>
      </c>
      <c r="B41" s="206">
        <v>0.45</v>
      </c>
      <c r="C41" s="196"/>
      <c r="E41" s="216"/>
      <c r="F41" s="216"/>
      <c r="G41" s="216"/>
    </row>
    <row r="42" spans="1:14" s="216" customFormat="1" ht="16">
      <c r="A42" s="189"/>
      <c r="B42" s="217"/>
      <c r="C42" s="212"/>
      <c r="D42" s="196"/>
      <c r="E42" s="189"/>
      <c r="F42" s="189"/>
      <c r="G42" s="189"/>
      <c r="H42" s="189"/>
      <c r="I42" s="189"/>
      <c r="J42" s="189"/>
      <c r="K42" s="189"/>
      <c r="L42" s="189"/>
      <c r="M42" s="189"/>
      <c r="N42" s="189"/>
    </row>
    <row r="43" spans="1:14" s="189" customFormat="1" ht="16">
      <c r="A43" s="501" t="s">
        <v>96</v>
      </c>
      <c r="B43" s="501"/>
      <c r="C43" s="218"/>
      <c r="D43" s="196"/>
      <c r="N43" s="216"/>
    </row>
    <row r="44" spans="1:14" s="189" customFormat="1" ht="16">
      <c r="A44" s="216" t="s">
        <v>97</v>
      </c>
      <c r="B44" s="216"/>
      <c r="C44" s="219"/>
      <c r="D44" s="196"/>
      <c r="E44" s="216"/>
      <c r="F44" s="216"/>
      <c r="G44" s="216"/>
      <c r="H44" s="216"/>
      <c r="I44" s="216"/>
      <c r="J44" s="216"/>
      <c r="K44" s="216"/>
      <c r="L44" s="216"/>
      <c r="M44" s="216"/>
    </row>
    <row r="45" spans="1:14" s="189" customFormat="1" ht="16">
      <c r="A45" s="189" t="s">
        <v>33</v>
      </c>
      <c r="B45" s="384" t="s">
        <v>44</v>
      </c>
      <c r="C45" s="196" t="s">
        <v>47</v>
      </c>
    </row>
    <row r="46" spans="1:14" s="189" customFormat="1" ht="16">
      <c r="A46" s="189" t="s">
        <v>35</v>
      </c>
      <c r="B46" s="206">
        <f>B35</f>
        <v>7.0550157406465405E-2</v>
      </c>
      <c r="C46" s="196" t="s">
        <v>622</v>
      </c>
      <c r="N46" s="216"/>
    </row>
    <row r="47" spans="1:14" s="189" customFormat="1" ht="16">
      <c r="A47" s="216" t="s">
        <v>98</v>
      </c>
      <c r="B47" s="216"/>
      <c r="C47" s="196"/>
      <c r="D47" s="216"/>
      <c r="H47" s="216"/>
      <c r="I47" s="216"/>
      <c r="J47" s="216"/>
      <c r="K47" s="216"/>
      <c r="L47" s="216"/>
      <c r="M47" s="216"/>
    </row>
    <row r="48" spans="1:14" s="189" customFormat="1" ht="16">
      <c r="A48" s="189" t="s">
        <v>33</v>
      </c>
      <c r="B48" s="384" t="s">
        <v>44</v>
      </c>
      <c r="C48" s="196" t="s">
        <v>46</v>
      </c>
    </row>
    <row r="49" spans="1:14" s="189" customFormat="1" ht="16">
      <c r="A49" s="189" t="s">
        <v>34</v>
      </c>
      <c r="B49" s="206">
        <v>0.15</v>
      </c>
      <c r="C49" s="196" t="s">
        <v>133</v>
      </c>
    </row>
    <row r="50" spans="1:14" s="189" customFormat="1" ht="16">
      <c r="A50" s="216" t="s">
        <v>129</v>
      </c>
      <c r="C50" s="196"/>
    </row>
    <row r="51" spans="1:14" s="189" customFormat="1" ht="16">
      <c r="A51" s="189" t="s">
        <v>33</v>
      </c>
      <c r="B51" s="384" t="s">
        <v>44</v>
      </c>
      <c r="C51" s="196" t="s">
        <v>104</v>
      </c>
    </row>
    <row r="52" spans="1:14" s="189" customFormat="1" ht="16">
      <c r="A52" s="189" t="s">
        <v>99</v>
      </c>
      <c r="B52" s="220">
        <v>0.12</v>
      </c>
      <c r="C52" s="196" t="s">
        <v>740</v>
      </c>
    </row>
    <row r="53" spans="1:14" s="189" customFormat="1" ht="16">
      <c r="A53" s="189" t="s">
        <v>102</v>
      </c>
      <c r="B53" s="220" t="s">
        <v>219</v>
      </c>
      <c r="C53" s="196" t="s">
        <v>93</v>
      </c>
    </row>
    <row r="54" spans="1:14" s="189" customFormat="1" ht="16">
      <c r="A54" s="189" t="s">
        <v>220</v>
      </c>
      <c r="B54" s="220">
        <v>0.5</v>
      </c>
      <c r="C54" s="196" t="s">
        <v>103</v>
      </c>
    </row>
    <row r="55" spans="1:14" s="189" customFormat="1" ht="16">
      <c r="A55" s="189" t="s">
        <v>827</v>
      </c>
      <c r="B55" s="350"/>
      <c r="C55" s="196"/>
    </row>
    <row r="56" spans="1:14" s="189" customFormat="1" ht="16">
      <c r="A56" s="189" t="s">
        <v>828</v>
      </c>
      <c r="B56" s="384" t="s">
        <v>44</v>
      </c>
      <c r="C56" s="196"/>
    </row>
    <row r="57" spans="1:14" s="189" customFormat="1" ht="16">
      <c r="A57" s="189" t="s">
        <v>829</v>
      </c>
      <c r="B57" s="351">
        <v>1</v>
      </c>
      <c r="C57" s="196"/>
    </row>
    <row r="58" spans="1:14" s="189" customFormat="1" ht="16">
      <c r="A58" s="216" t="s">
        <v>131</v>
      </c>
      <c r="B58" s="221"/>
      <c r="C58" s="196"/>
    </row>
    <row r="59" spans="1:14" s="189" customFormat="1" ht="16">
      <c r="A59" s="189" t="s">
        <v>33</v>
      </c>
      <c r="B59" s="197" t="s">
        <v>44</v>
      </c>
      <c r="C59" s="196"/>
    </row>
    <row r="60" spans="1:14" s="189" customFormat="1" ht="16">
      <c r="A60" s="216" t="s">
        <v>128</v>
      </c>
      <c r="C60" s="196"/>
    </row>
    <row r="61" spans="1:14" s="189" customFormat="1" ht="16">
      <c r="A61" s="189" t="s">
        <v>33</v>
      </c>
      <c r="B61" s="384" t="s">
        <v>44</v>
      </c>
      <c r="C61" s="196" t="s">
        <v>48</v>
      </c>
    </row>
    <row r="62" spans="1:14" s="189" customFormat="1" ht="16">
      <c r="A62" s="189" t="s">
        <v>42</v>
      </c>
      <c r="B62" s="214">
        <f>474.8+256.6</f>
        <v>731.40000000000009</v>
      </c>
      <c r="C62" s="196" t="s">
        <v>134</v>
      </c>
    </row>
    <row r="63" spans="1:14" s="189" customFormat="1" ht="16">
      <c r="A63" s="189" t="s">
        <v>595</v>
      </c>
      <c r="B63" s="222"/>
      <c r="C63" s="196"/>
    </row>
    <row r="64" spans="1:14" s="216" customFormat="1" ht="16">
      <c r="A64" s="189" t="s">
        <v>33</v>
      </c>
      <c r="B64" s="384" t="s">
        <v>44</v>
      </c>
      <c r="C64" s="196" t="s">
        <v>597</v>
      </c>
      <c r="D64" s="189"/>
      <c r="E64" s="189"/>
      <c r="F64" s="189"/>
      <c r="G64" s="189"/>
      <c r="H64" s="189"/>
      <c r="I64" s="189"/>
      <c r="J64" s="189"/>
      <c r="K64" s="189"/>
      <c r="L64" s="189"/>
      <c r="M64" s="189"/>
      <c r="N64" s="189"/>
    </row>
    <row r="65" spans="1:14" s="189" customFormat="1" ht="16">
      <c r="A65" s="189" t="s">
        <v>596</v>
      </c>
      <c r="B65" s="223">
        <v>0.02</v>
      </c>
      <c r="C65" s="196" t="s">
        <v>598</v>
      </c>
    </row>
    <row r="66" spans="1:14" s="189" customFormat="1" ht="16">
      <c r="A66" s="189" t="s">
        <v>492</v>
      </c>
      <c r="B66" s="215"/>
      <c r="C66" s="196"/>
      <c r="E66" s="216"/>
      <c r="F66" s="216"/>
      <c r="G66" s="216"/>
      <c r="H66" s="216"/>
      <c r="I66" s="216"/>
      <c r="J66" s="216"/>
      <c r="K66" s="216"/>
      <c r="L66" s="216"/>
      <c r="M66" s="216"/>
      <c r="N66" s="216"/>
    </row>
    <row r="67" spans="1:14" s="189" customFormat="1" ht="16">
      <c r="A67" s="189" t="s">
        <v>33</v>
      </c>
      <c r="B67" s="384" t="s">
        <v>44</v>
      </c>
      <c r="C67" s="196" t="s">
        <v>599</v>
      </c>
    </row>
    <row r="68" spans="1:14" s="189" customFormat="1" ht="16">
      <c r="A68" s="189" t="s">
        <v>493</v>
      </c>
      <c r="B68" s="223">
        <v>-0.05</v>
      </c>
      <c r="C68" s="196" t="s">
        <v>494</v>
      </c>
    </row>
    <row r="69" spans="1:14" s="189" customFormat="1" ht="16">
      <c r="A69" s="216" t="s">
        <v>497</v>
      </c>
      <c r="B69" s="216"/>
      <c r="C69" s="216"/>
      <c r="D69" s="216"/>
    </row>
    <row r="70" spans="1:14" s="189" customFormat="1" ht="16">
      <c r="A70" s="189" t="s">
        <v>489</v>
      </c>
      <c r="B70" s="384" t="s">
        <v>44</v>
      </c>
    </row>
    <row r="71" spans="1:14" s="189" customFormat="1" ht="16">
      <c r="A71" s="189" t="s">
        <v>500</v>
      </c>
      <c r="B71" s="224">
        <v>140000</v>
      </c>
      <c r="C71" s="196" t="s">
        <v>498</v>
      </c>
    </row>
    <row r="72" spans="1:14" s="189" customFormat="1" ht="16">
      <c r="A72" s="194" t="s">
        <v>490</v>
      </c>
      <c r="B72" s="220">
        <v>0.15</v>
      </c>
      <c r="C72" s="196" t="s">
        <v>499</v>
      </c>
    </row>
    <row r="73" spans="1:14" ht="16">
      <c r="A73" s="77"/>
      <c r="E73" s="189"/>
      <c r="F73" s="189"/>
      <c r="G73" s="189"/>
      <c r="H73" s="189"/>
      <c r="I73" s="189"/>
      <c r="J73" s="189"/>
      <c r="K73" s="189"/>
      <c r="L73" s="189"/>
      <c r="M73" s="189"/>
      <c r="N73" s="189"/>
    </row>
    <row r="74" spans="1:14" ht="16">
      <c r="E74" s="189"/>
      <c r="F74" s="189"/>
      <c r="G74" s="189"/>
      <c r="H74" s="189"/>
      <c r="I74" s="189"/>
      <c r="J74" s="189"/>
      <c r="K74" s="189"/>
      <c r="L74" s="189"/>
      <c r="M74" s="189"/>
      <c r="N74" s="189"/>
    </row>
  </sheetData>
  <mergeCells count="8">
    <mergeCell ref="A43:B43"/>
    <mergeCell ref="A5:J5"/>
    <mergeCell ref="E33:J33"/>
    <mergeCell ref="C35:D35"/>
    <mergeCell ref="L23:N23"/>
    <mergeCell ref="E21:N21"/>
    <mergeCell ref="D11:D15"/>
    <mergeCell ref="F7:I11"/>
  </mergeCells>
  <phoneticPr fontId="6" type="noConversion"/>
  <dataValidations count="2">
    <dataValidation type="decimal" allowBlank="1" showInputMessage="1" showErrorMessage="1" promptTitle="No negative tax rates" prompt="While it is possible for an effective tax rate to be less than 0% or greater than 100% in any given year, it is dangerous to build off these tax rates for making future projections. If less than zero, enter zero. If greater than the 100%, go with the marg" sqref="B23" xr:uid="{00000000-0002-0000-0000-000000000000}">
      <formula1>0</formula1>
      <formula2>1</formula2>
    </dataValidation>
    <dataValidation allowBlank="1" showInputMessage="1" showErrorMessage="1" promptTitle="Do not input" prompt="If you want to directly input the cost of capital, go to the cost of capital worksheet built into this spreadsheet, and you will have the option to do so. If not, you can use one of three approaches in that worksheet to compute a cost of capital." sqref="B35" xr:uid="{00000000-0002-0000-0000-000001000000}"/>
  </dataValidations>
  <hyperlinks>
    <hyperlink ref="F7:I11" r:id="rId1" display="If you want a guide through this spreadsheet, try this YouTube video that takes you through each input cell: https://youtu.be/kyKfJ_7-mdg?si=FIeHhnLH2_2brag3 " xr:uid="{D12DE9EF-B7E8-7849-9118-A036984012EA}"/>
  </hyperlinks>
  <pageMargins left="0.75" right="0.75" top="1" bottom="1" header="0.5" footer="0.5"/>
  <pageSetup orientation="portrait" horizontalDpi="4294967292" verticalDpi="4294967292"/>
  <headerFooter alignWithMargins="0"/>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2000000}">
          <x14:formula1>
            <xm:f>'Country equity risk premiums'!$A$5:$A$196</xm:f>
          </x14:formula1>
          <xm:sqref>B7</xm:sqref>
        </x14:dataValidation>
        <x14:dataValidation type="list" allowBlank="1" showInputMessage="1" showErrorMessage="1" xr:uid="{00000000-0002-0000-0000-000003000000}">
          <x14:formula1>
            <xm:f>'Industry Averages(US)'!$A$2:$A$95</xm:f>
          </x14:formula1>
          <xm:sqref>B8:B9</xm:sqref>
        </x14:dataValidation>
        <x14:dataValidation type="list" allowBlank="1" showInputMessage="1" showErrorMessage="1" xr:uid="{00000000-0002-0000-0000-000004000000}">
          <x14:formula1>
            <xm:f>'Answer keys'!$A$2:$A$3</xm:f>
          </x14:formula1>
          <xm:sqref>B16:B17 B37 B45 B48 B51 B56 B59 B61 B64 B67 B70</xm:sqref>
        </x14:dataValidation>
        <x14:dataValidation type="list" allowBlank="1" showInputMessage="1" showErrorMessage="1" xr:uid="{00000000-0002-0000-0000-000005000000}">
          <x14:formula1>
            <xm:f>'Answer keys'!$B$2:$B$3</xm:f>
          </x14:formula1>
          <xm:sqref>B53</xm:sqref>
        </x14:dataValidation>
        <x14:dataValidation type="list" allowBlank="1" showInputMessage="1" showErrorMessage="1" xr:uid="{00000000-0002-0000-0000-000006000000}">
          <x14:formula1>
            <xm:f>'Answer keys'!$J$2:$J$5</xm:f>
          </x14:formula1>
          <xm:sqref>B57</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91"/>
  <sheetViews>
    <sheetView topLeftCell="A33" workbookViewId="0">
      <selection activeCell="D87" sqref="D87"/>
    </sheetView>
  </sheetViews>
  <sheetFormatPr baseColWidth="10" defaultRowHeight="13"/>
  <cols>
    <col min="1" max="1" width="40.1640625" bestFit="1" customWidth="1"/>
    <col min="2" max="2" width="17.33203125" bestFit="1" customWidth="1"/>
    <col min="3" max="3" width="12.83203125" bestFit="1" customWidth="1"/>
    <col min="4" max="4" width="13.6640625" customWidth="1"/>
    <col min="5" max="5" width="12" customWidth="1"/>
    <col min="7" max="7" width="19.5" bestFit="1" customWidth="1"/>
    <col min="8" max="8" width="16.33203125" customWidth="1"/>
    <col min="10" max="10" width="14.6640625" customWidth="1"/>
    <col min="11" max="11" width="18.1640625" bestFit="1" customWidth="1"/>
    <col min="12" max="12" width="17.5" customWidth="1"/>
  </cols>
  <sheetData>
    <row r="1" spans="1:17">
      <c r="A1" s="642" t="s">
        <v>584</v>
      </c>
      <c r="B1" s="642"/>
      <c r="C1" s="642"/>
      <c r="D1" s="642"/>
      <c r="E1" s="642"/>
      <c r="F1" s="642"/>
      <c r="G1" s="642"/>
      <c r="H1" s="642"/>
      <c r="I1" s="642"/>
      <c r="J1" s="642"/>
      <c r="K1" s="642"/>
    </row>
    <row r="2" spans="1:17">
      <c r="A2" s="642"/>
      <c r="B2" s="642"/>
      <c r="C2" s="642"/>
      <c r="D2" s="642"/>
      <c r="E2" s="642"/>
      <c r="F2" s="642"/>
      <c r="G2" s="642"/>
      <c r="H2" s="642"/>
      <c r="I2" s="642"/>
      <c r="J2" s="642"/>
      <c r="K2" s="642"/>
    </row>
    <row r="3" spans="1:17" s="59" customFormat="1" ht="19" thickBot="1">
      <c r="A3" s="643" t="s">
        <v>164</v>
      </c>
      <c r="B3" s="643"/>
      <c r="C3" s="643"/>
      <c r="D3" s="643"/>
      <c r="E3" s="643"/>
      <c r="G3" s="72" t="s">
        <v>481</v>
      </c>
    </row>
    <row r="4" spans="1:17" s="8" customFormat="1" ht="15" customHeight="1">
      <c r="A4" s="631" t="s">
        <v>851</v>
      </c>
      <c r="B4" s="632"/>
      <c r="C4" s="632"/>
      <c r="D4" s="632"/>
      <c r="E4" s="633"/>
      <c r="F4" s="59"/>
      <c r="G4" s="83" t="s">
        <v>332</v>
      </c>
      <c r="H4" s="83" t="s">
        <v>5</v>
      </c>
      <c r="I4" s="83" t="s">
        <v>357</v>
      </c>
      <c r="J4" s="83" t="s">
        <v>359</v>
      </c>
      <c r="K4" s="83" t="s">
        <v>358</v>
      </c>
    </row>
    <row r="5" spans="1:17" s="6" customFormat="1" ht="15" customHeight="1">
      <c r="A5" s="634"/>
      <c r="B5" s="635"/>
      <c r="C5" s="635"/>
      <c r="D5" s="635"/>
      <c r="E5" s="636"/>
      <c r="F5" s="59"/>
      <c r="G5" s="81" t="s">
        <v>327</v>
      </c>
      <c r="H5" s="81">
        <v>193636</v>
      </c>
      <c r="I5" s="66">
        <f>IF(H5=0,0,VLOOKUP(G5,'Country equity risk premiums'!$A$5:$D$196,4))</f>
        <v>4.4600000000000001E-2</v>
      </c>
      <c r="J5" s="66">
        <f t="shared" ref="J5:J12" si="0">IF(H5&gt;0,H5/$H$18,)</f>
        <v>0.85880667580309666</v>
      </c>
      <c r="K5" s="66">
        <f t="shared" ref="K5:K12" si="1">IF(J5=0,0,I5*J5)</f>
        <v>3.8302777740818111E-2</v>
      </c>
      <c r="M5" s="641" t="s">
        <v>528</v>
      </c>
      <c r="N5" s="641"/>
      <c r="O5" s="641"/>
      <c r="P5" s="641"/>
      <c r="Q5" s="641"/>
    </row>
    <row r="6" spans="1:17" s="6" customFormat="1" ht="15" customHeight="1">
      <c r="A6" s="634"/>
      <c r="B6" s="635"/>
      <c r="C6" s="635"/>
      <c r="D6" s="635"/>
      <c r="E6" s="636"/>
      <c r="F6" s="59"/>
      <c r="G6" s="81" t="s">
        <v>251</v>
      </c>
      <c r="H6" s="81">
        <v>500</v>
      </c>
      <c r="I6" s="66">
        <f>IF(H6=0,0,VLOOKUP(G6,'Country equity risk premiums'!$A$5:$D$196,4))</f>
        <v>5.1400000000000001E-2</v>
      </c>
      <c r="J6" s="66">
        <f t="shared" si="0"/>
        <v>2.2175800879048746E-3</v>
      </c>
      <c r="K6" s="66">
        <f t="shared" si="1"/>
        <v>1.1398361651831056E-4</v>
      </c>
      <c r="M6" s="641"/>
      <c r="N6" s="641"/>
      <c r="O6" s="641"/>
      <c r="P6" s="641"/>
      <c r="Q6" s="641"/>
    </row>
    <row r="7" spans="1:17" s="6" customFormat="1" ht="15" customHeight="1">
      <c r="A7" s="634"/>
      <c r="B7" s="635"/>
      <c r="C7" s="635"/>
      <c r="D7" s="635"/>
      <c r="E7" s="636"/>
      <c r="F7" s="59"/>
      <c r="G7" s="81"/>
      <c r="H7" s="81"/>
      <c r="I7" s="66">
        <f>IF(H7=0,0,VLOOKUP(G7,'Country equity risk premiums'!$A$5:$D$196,4))</f>
        <v>0</v>
      </c>
      <c r="J7" s="66">
        <f t="shared" si="0"/>
        <v>0</v>
      </c>
      <c r="K7" s="66">
        <f t="shared" si="1"/>
        <v>0</v>
      </c>
      <c r="M7" s="641"/>
      <c r="N7" s="641"/>
      <c r="O7" s="641"/>
      <c r="P7" s="641"/>
      <c r="Q7" s="641"/>
    </row>
    <row r="8" spans="1:17" s="6" customFormat="1" ht="15" customHeight="1">
      <c r="A8" s="634"/>
      <c r="B8" s="635"/>
      <c r="C8" s="635"/>
      <c r="D8" s="635"/>
      <c r="E8" s="636"/>
      <c r="F8" s="59"/>
      <c r="G8" s="81"/>
      <c r="H8" s="81"/>
      <c r="I8" s="66">
        <f>IF(H8=0,0,VLOOKUP(G8,'Country equity risk premiums'!$A$5:$D$196,4))</f>
        <v>0</v>
      </c>
      <c r="J8" s="66">
        <f t="shared" si="0"/>
        <v>0</v>
      </c>
      <c r="K8" s="66">
        <f t="shared" si="1"/>
        <v>0</v>
      </c>
      <c r="M8" s="641"/>
      <c r="N8" s="641"/>
      <c r="O8" s="641"/>
      <c r="P8" s="641"/>
      <c r="Q8" s="641"/>
    </row>
    <row r="9" spans="1:17" s="6" customFormat="1" ht="15" customHeight="1" thickBot="1">
      <c r="A9" s="637"/>
      <c r="B9" s="638"/>
      <c r="C9" s="638"/>
      <c r="D9" s="638"/>
      <c r="E9" s="639"/>
      <c r="F9" s="59"/>
      <c r="G9" s="81"/>
      <c r="H9" s="81"/>
      <c r="I9" s="66">
        <f>IF(H9=0,0,VLOOKUP(G9,'Country equity risk premiums'!$A$5:$D$196,4))</f>
        <v>0</v>
      </c>
      <c r="J9" s="66">
        <f t="shared" si="0"/>
        <v>0</v>
      </c>
      <c r="K9" s="66">
        <f t="shared" si="1"/>
        <v>0</v>
      </c>
      <c r="M9" s="641"/>
      <c r="N9" s="641"/>
      <c r="O9" s="641"/>
      <c r="P9" s="641"/>
      <c r="Q9" s="641"/>
    </row>
    <row r="10" spans="1:17" s="6" customFormat="1" ht="15" customHeight="1">
      <c r="A10" s="182"/>
      <c r="B10" s="182"/>
      <c r="C10" s="182"/>
      <c r="D10" s="182"/>
      <c r="E10" s="182"/>
      <c r="F10" s="59"/>
      <c r="G10" s="81"/>
      <c r="H10" s="81"/>
      <c r="I10" s="66">
        <f>IF(H10=0,0,VLOOKUP(G10,'Country equity risk premiums'!$A$5:$D$196,4))</f>
        <v>0</v>
      </c>
      <c r="J10" s="66">
        <f t="shared" si="0"/>
        <v>0</v>
      </c>
      <c r="K10" s="66">
        <f t="shared" si="1"/>
        <v>0</v>
      </c>
      <c r="M10" s="641"/>
      <c r="N10" s="641"/>
      <c r="O10" s="641"/>
      <c r="P10" s="641"/>
      <c r="Q10" s="641"/>
    </row>
    <row r="11" spans="1:17" s="6" customFormat="1" ht="15" customHeight="1">
      <c r="A11" s="182" t="s">
        <v>723</v>
      </c>
      <c r="B11" s="183" t="s">
        <v>725</v>
      </c>
      <c r="C11" s="182"/>
      <c r="D11" s="182"/>
      <c r="E11" s="182"/>
      <c r="F11" s="59"/>
      <c r="G11" s="81"/>
      <c r="H11" s="81"/>
      <c r="I11" s="66">
        <f>IF(H11=0,0,VLOOKUP(G11,'Country equity risk premiums'!$A$5:$D$196,4))</f>
        <v>0</v>
      </c>
      <c r="J11" s="66">
        <f t="shared" si="0"/>
        <v>0</v>
      </c>
      <c r="K11" s="66">
        <f t="shared" si="1"/>
        <v>0</v>
      </c>
      <c r="M11" s="641"/>
      <c r="N11" s="641"/>
      <c r="O11" s="641"/>
      <c r="P11" s="641"/>
      <c r="Q11" s="641"/>
    </row>
    <row r="12" spans="1:17" s="6" customFormat="1" ht="15" customHeight="1">
      <c r="A12" s="182" t="s">
        <v>727</v>
      </c>
      <c r="B12" s="184">
        <v>0.09</v>
      </c>
      <c r="C12" s="182"/>
      <c r="D12" s="182"/>
      <c r="E12" s="182"/>
      <c r="F12" s="59"/>
      <c r="G12" s="81"/>
      <c r="H12" s="81"/>
      <c r="I12" s="66">
        <f>IF(H12=0,0,VLOOKUP(G12,'Country equity risk premiums'!$A$5:$D$196,4))</f>
        <v>0</v>
      </c>
      <c r="J12" s="66">
        <f t="shared" si="0"/>
        <v>0</v>
      </c>
      <c r="K12" s="66">
        <f t="shared" si="1"/>
        <v>0</v>
      </c>
      <c r="M12" s="641"/>
      <c r="N12" s="641"/>
      <c r="O12" s="641"/>
      <c r="P12" s="641"/>
      <c r="Q12" s="641"/>
    </row>
    <row r="13" spans="1:17" s="6" customFormat="1" ht="15" customHeight="1">
      <c r="A13" s="182" t="s">
        <v>726</v>
      </c>
      <c r="B13" s="185">
        <f>IF(B11="I will input",B12,IF(B11="Detailed",E62,IF(B11="Industry Average",B67,B72)))</f>
        <v>7.0550157406465405E-2</v>
      </c>
      <c r="C13" s="182"/>
      <c r="D13" s="182"/>
      <c r="E13" s="182"/>
      <c r="F13" s="59"/>
      <c r="G13" s="81"/>
      <c r="H13" s="81"/>
      <c r="I13" s="66">
        <f>IF(H13=0,0,VLOOKUP(G13,'Country equity risk premiums'!$A$5:$D$196,4))</f>
        <v>0</v>
      </c>
      <c r="J13" s="66">
        <f>IF(H13&gt;0,H13/$H$18,)</f>
        <v>0</v>
      </c>
      <c r="K13" s="66">
        <f>IF(J13=0,0,I13*J13)</f>
        <v>0</v>
      </c>
      <c r="M13" s="641"/>
      <c r="N13" s="641"/>
      <c r="O13" s="641"/>
      <c r="P13" s="641"/>
      <c r="Q13" s="641"/>
    </row>
    <row r="14" spans="1:17" s="6" customFormat="1" ht="15" customHeight="1" thickBot="1">
      <c r="A14" s="182"/>
      <c r="B14" s="182"/>
      <c r="C14" s="182"/>
      <c r="D14" s="182"/>
      <c r="E14" s="182"/>
      <c r="F14" s="59"/>
      <c r="G14" s="81"/>
      <c r="H14" s="81"/>
      <c r="I14" s="66">
        <f>IF(H14=0,0,VLOOKUP(G14,'Country equity risk premiums'!$A$5:$D$196,4))</f>
        <v>0</v>
      </c>
      <c r="J14" s="66">
        <f>IF(H14&gt;0,H14/$H$18,)</f>
        <v>0</v>
      </c>
      <c r="K14" s="66">
        <f>IF(J14=0,0,I14*J14)</f>
        <v>0</v>
      </c>
      <c r="M14" s="641"/>
      <c r="N14" s="641"/>
      <c r="O14" s="641"/>
      <c r="P14" s="641"/>
      <c r="Q14" s="641"/>
    </row>
    <row r="15" spans="1:17" s="6" customFormat="1" ht="15" customHeight="1" thickBot="1">
      <c r="A15" s="644" t="s">
        <v>715</v>
      </c>
      <c r="B15" s="645"/>
      <c r="C15" s="645"/>
      <c r="D15" s="645"/>
      <c r="E15" s="645"/>
      <c r="F15" s="646"/>
      <c r="G15" s="81"/>
      <c r="H15" s="81"/>
      <c r="I15" s="66">
        <f>IF(H15=0,0,VLOOKUP(G15,'Country equity risk premiums'!$A$5:$D$196,4))</f>
        <v>0</v>
      </c>
      <c r="J15" s="66">
        <f>IF(H15&gt;0,H15/$H$18,)</f>
        <v>0</v>
      </c>
      <c r="K15" s="66">
        <f>IF(J15=0,0,I15*J15)</f>
        <v>0</v>
      </c>
      <c r="M15" s="641"/>
      <c r="N15" s="641"/>
      <c r="O15" s="641"/>
      <c r="P15" s="641"/>
      <c r="Q15" s="641"/>
    </row>
    <row r="16" spans="1:17" s="6" customFormat="1" ht="15" customHeight="1">
      <c r="A16" s="8" t="s">
        <v>4</v>
      </c>
      <c r="B16" s="174"/>
      <c r="C16" s="107"/>
      <c r="D16" s="8"/>
      <c r="E16" s="8"/>
      <c r="F16" s="8"/>
      <c r="G16" s="139" t="s">
        <v>587</v>
      </c>
      <c r="H16" s="81">
        <v>31335</v>
      </c>
      <c r="I16" s="145">
        <v>6.4100000000000004E-2</v>
      </c>
      <c r="J16" s="66">
        <f>IF(H16&gt;0,H16/$H$18,)</f>
        <v>0.13897574410899849</v>
      </c>
      <c r="K16" s="66">
        <f>IF(J16=0,0,I16*J16)</f>
        <v>8.9083451973868029E-3</v>
      </c>
      <c r="M16" s="641"/>
      <c r="N16" s="641"/>
      <c r="O16" s="641"/>
      <c r="P16" s="641"/>
      <c r="Q16" s="641"/>
    </row>
    <row r="17" spans="1:17" s="6" customFormat="1" ht="15" customHeight="1">
      <c r="A17" s="11" t="s">
        <v>165</v>
      </c>
      <c r="B17" s="175"/>
      <c r="G17" s="139"/>
      <c r="H17" s="81"/>
      <c r="I17" s="139"/>
      <c r="J17" s="66">
        <f>IF(H17&gt;0,H17/$H$18,)</f>
        <v>0</v>
      </c>
      <c r="K17" s="66">
        <f>IF(J17=0,0,I17*J17)</f>
        <v>0</v>
      </c>
      <c r="M17" s="641"/>
      <c r="N17" s="641"/>
      <c r="O17" s="641"/>
      <c r="P17" s="641"/>
      <c r="Q17" s="641"/>
    </row>
    <row r="18" spans="1:17" s="6" customFormat="1" ht="15" customHeight="1">
      <c r="A18" s="6" t="s">
        <v>166</v>
      </c>
      <c r="B18" s="63">
        <f>'Input sheet'!B21</f>
        <v>4315</v>
      </c>
      <c r="G18" s="82" t="s">
        <v>360</v>
      </c>
      <c r="H18" s="82">
        <f>SUM(H5:H17)</f>
        <v>225471</v>
      </c>
      <c r="I18" s="82"/>
      <c r="J18" s="66">
        <f>SUM(J5:J17)</f>
        <v>1</v>
      </c>
      <c r="K18" s="66">
        <f>SUM(K5:K17)</f>
        <v>4.7325106554723231E-2</v>
      </c>
      <c r="M18" s="641"/>
      <c r="N18" s="641"/>
      <c r="O18" s="641"/>
      <c r="P18" s="641"/>
      <c r="Q18" s="641"/>
    </row>
    <row r="19" spans="1:17" s="6" customFormat="1" ht="15" customHeight="1">
      <c r="A19" s="6" t="s">
        <v>167</v>
      </c>
      <c r="B19" s="64">
        <f>'Input sheet'!B22</f>
        <v>72.28</v>
      </c>
      <c r="G19" s="72" t="s">
        <v>419</v>
      </c>
      <c r="M19" s="641"/>
      <c r="N19" s="641"/>
      <c r="O19" s="641"/>
      <c r="P19" s="641"/>
      <c r="Q19" s="641"/>
    </row>
    <row r="20" spans="1:17" s="6" customFormat="1" ht="15" customHeight="1">
      <c r="G20" s="12" t="s">
        <v>335</v>
      </c>
      <c r="H20" s="12" t="s">
        <v>5</v>
      </c>
      <c r="I20" s="12" t="s">
        <v>357</v>
      </c>
      <c r="J20" s="12" t="s">
        <v>359</v>
      </c>
      <c r="K20" s="12" t="s">
        <v>358</v>
      </c>
    </row>
    <row r="21" spans="1:17" s="6" customFormat="1" ht="15" customHeight="1">
      <c r="A21" s="6" t="s">
        <v>445</v>
      </c>
      <c r="B21" s="81" t="s">
        <v>451</v>
      </c>
      <c r="G21" s="12" t="str">
        <f>'Country equity risk premiums'!A201</f>
        <v>Africa</v>
      </c>
      <c r="H21" s="81"/>
      <c r="I21" s="13">
        <f>'Country equity risk premiums'!B201</f>
        <v>0.11949308050536839</v>
      </c>
      <c r="J21" s="66">
        <f t="shared" ref="J21:J29" si="2">H21/$H$32</f>
        <v>0</v>
      </c>
      <c r="K21" s="84">
        <f>I21*J21</f>
        <v>0</v>
      </c>
    </row>
    <row r="22" spans="1:17" s="6" customFormat="1" ht="15" customHeight="1">
      <c r="A22" s="6" t="s">
        <v>447</v>
      </c>
      <c r="B22" s="108">
        <v>1.2</v>
      </c>
      <c r="G22" s="12" t="str">
        <f>'Country equity risk premiums'!A202</f>
        <v>Asia</v>
      </c>
      <c r="H22" s="81">
        <v>5455</v>
      </c>
      <c r="I22" s="13">
        <f>'Country equity risk premiums'!B202</f>
        <v>5.7223235648452254E-2</v>
      </c>
      <c r="J22" s="66">
        <f t="shared" si="2"/>
        <v>0.11591338900575848</v>
      </c>
      <c r="K22" s="84">
        <f t="shared" ref="K22:K29" si="3">I22*J22</f>
        <v>6.6329391738872328E-3</v>
      </c>
    </row>
    <row r="23" spans="1:17" s="6" customFormat="1" ht="15" customHeight="1">
      <c r="A23" s="6" t="s">
        <v>192</v>
      </c>
      <c r="B23" s="63">
        <f>IF(B21="Single Business(US)",VLOOKUP('Input sheet'!B8,'Industry Averages(US)'!A2:G95,7),IF(B21="Multibusiness(US)",K48,IF(B21="Single Business(Global)",VLOOKUP('Input sheet'!B9,'Industry Averages (Global)'!A2:G95,7),'Cost of capital worksheet'!K64)))</f>
        <v>0.46942377677075875</v>
      </c>
      <c r="G23" s="12" t="str">
        <f>'Country equity risk premiums'!A203</f>
        <v>Australia &amp; New Zealand</v>
      </c>
      <c r="H23" s="81"/>
      <c r="I23" s="13">
        <f>'Country equity risk premiums'!B203</f>
        <v>4.2340821732004208E-2</v>
      </c>
      <c r="J23" s="66">
        <f t="shared" si="2"/>
        <v>0</v>
      </c>
      <c r="K23" s="84">
        <f t="shared" si="3"/>
        <v>0</v>
      </c>
    </row>
    <row r="24" spans="1:17" s="6" customFormat="1" ht="15" customHeight="1">
      <c r="A24" s="6" t="s">
        <v>168</v>
      </c>
      <c r="B24" s="68">
        <f>'Input sheet'!B34</f>
        <v>4.58E-2</v>
      </c>
      <c r="G24" s="12" t="str">
        <f>'Country equity risk premiums'!A204</f>
        <v>Caribbean</v>
      </c>
      <c r="H24" s="81"/>
      <c r="I24" s="13">
        <f>'Country equity risk premiums'!B204</f>
        <v>0.117176823349771</v>
      </c>
      <c r="J24" s="66">
        <f t="shared" si="2"/>
        <v>0</v>
      </c>
      <c r="K24" s="84">
        <f t="shared" si="3"/>
        <v>0</v>
      </c>
    </row>
    <row r="25" spans="1:17" s="6" customFormat="1" ht="15" customHeight="1">
      <c r="A25" s="6" t="s">
        <v>411</v>
      </c>
      <c r="B25" s="103" t="s">
        <v>415</v>
      </c>
      <c r="G25" s="12" t="str">
        <f>'Country equity risk premiums'!A205</f>
        <v>Central and South America</v>
      </c>
      <c r="H25" s="81">
        <v>5830</v>
      </c>
      <c r="I25" s="13">
        <f>'Country equity risk premiums'!B205</f>
        <v>8.4628496206189827E-2</v>
      </c>
      <c r="J25" s="66">
        <f t="shared" si="2"/>
        <v>0.12388177046811585</v>
      </c>
      <c r="K25" s="84">
        <f t="shared" si="3"/>
        <v>1.0483927942077021E-2</v>
      </c>
    </row>
    <row r="26" spans="1:17" s="6" customFormat="1" ht="15" customHeight="1">
      <c r="A26" s="6" t="s">
        <v>417</v>
      </c>
      <c r="B26" s="103">
        <v>0.06</v>
      </c>
      <c r="G26" s="12" t="str">
        <f>'Country equity risk premiums'!A206</f>
        <v>Eastern Europe</v>
      </c>
      <c r="H26" s="81"/>
      <c r="I26" s="13">
        <f>'Country equity risk premiums'!B206</f>
        <v>7.5777091018450746E-2</v>
      </c>
      <c r="J26" s="66">
        <f t="shared" si="2"/>
        <v>0</v>
      </c>
      <c r="K26" s="84">
        <f t="shared" si="3"/>
        <v>0</v>
      </c>
    </row>
    <row r="27" spans="1:17" s="6" customFormat="1" ht="15" customHeight="1">
      <c r="A27" s="6" t="s">
        <v>418</v>
      </c>
      <c r="B27" s="104">
        <f>IF(B25="Will Input",B26,IF(B25="Country of Incorporation",VLOOKUP('Input sheet'!B7,'Country equity risk premiums'!A5:E195,4),IF(B25="Operating regions",'Cost of capital worksheet'!K32,'Cost of capital worksheet'!K18)))</f>
        <v>5.5808146436763538E-2</v>
      </c>
      <c r="G27" s="12" t="str">
        <f>'Country equity risk premiums'!A207</f>
        <v>Middle East</v>
      </c>
      <c r="H27" s="81"/>
      <c r="I27" s="13">
        <f>'Country equity risk premiums'!B207</f>
        <v>6.2366864403681901E-2</v>
      </c>
      <c r="J27" s="66">
        <f t="shared" si="2"/>
        <v>0</v>
      </c>
      <c r="K27" s="84">
        <f t="shared" si="3"/>
        <v>0</v>
      </c>
    </row>
    <row r="28" spans="1:17" s="6" customFormat="1" ht="15" customHeight="1">
      <c r="G28" s="12" t="str">
        <f>'Country equity risk premiums'!A208</f>
        <v>North America</v>
      </c>
      <c r="H28" s="81">
        <v>16774</v>
      </c>
      <c r="I28" s="13">
        <f>'Country equity risk premiums'!B208</f>
        <v>4.4464748784794041E-2</v>
      </c>
      <c r="J28" s="66">
        <f t="shared" si="2"/>
        <v>0.35643101506555319</v>
      </c>
      <c r="K28" s="84">
        <f t="shared" si="3"/>
        <v>1.5848615543998964E-2</v>
      </c>
    </row>
    <row r="29" spans="1:17" s="6" customFormat="1" ht="15" customHeight="1">
      <c r="A29" s="11" t="s">
        <v>169</v>
      </c>
      <c r="G29" s="12" t="str">
        <f>'Country equity risk premiums'!A209</f>
        <v>Western Europe</v>
      </c>
      <c r="H29" s="81"/>
      <c r="I29" s="13">
        <f>'Country equity risk premiums'!B209</f>
        <v>5.2665467678857734E-2</v>
      </c>
      <c r="J29" s="66">
        <f t="shared" si="2"/>
        <v>0</v>
      </c>
      <c r="K29" s="84">
        <f t="shared" si="3"/>
        <v>0</v>
      </c>
    </row>
    <row r="30" spans="1:17" s="6" customFormat="1" ht="15" customHeight="1">
      <c r="A30" s="6" t="s">
        <v>170</v>
      </c>
      <c r="B30" s="64">
        <f>'Input sheet'!B15</f>
        <v>45063</v>
      </c>
      <c r="G30" s="81" t="s">
        <v>972</v>
      </c>
      <c r="H30" s="81">
        <v>8078</v>
      </c>
      <c r="I30" s="140">
        <v>5.8700000000000002E-2</v>
      </c>
      <c r="J30" s="66">
        <f>H30/$H$32</f>
        <v>0.17164956120779415</v>
      </c>
      <c r="K30" s="84">
        <f>I30*J30</f>
        <v>1.0075829242897518E-2</v>
      </c>
    </row>
    <row r="31" spans="1:17" s="6" customFormat="1" ht="15" customHeight="1">
      <c r="A31" s="6" t="s">
        <v>171</v>
      </c>
      <c r="B31" s="64">
        <f>'Input sheet'!B13</f>
        <v>493.4</v>
      </c>
      <c r="G31" s="81" t="s">
        <v>587</v>
      </c>
      <c r="H31" s="81">
        <v>10924</v>
      </c>
      <c r="I31" s="140">
        <v>5.5E-2</v>
      </c>
      <c r="J31" s="66">
        <f>H31/$H$32</f>
        <v>0.23212426425277832</v>
      </c>
      <c r="K31" s="84">
        <f>I31*J31</f>
        <v>1.2766834533902809E-2</v>
      </c>
    </row>
    <row r="32" spans="1:17" s="6" customFormat="1" ht="15" customHeight="1">
      <c r="A32" s="6" t="s">
        <v>172</v>
      </c>
      <c r="B32" s="60">
        <v>3</v>
      </c>
      <c r="G32" s="82" t="s">
        <v>360</v>
      </c>
      <c r="H32" s="82">
        <f>SUM(H21:H31)</f>
        <v>47061</v>
      </c>
      <c r="I32" s="68"/>
      <c r="J32" s="66">
        <f>SUM(J21:J31)</f>
        <v>1</v>
      </c>
      <c r="K32" s="85">
        <f>SUM(K21:K31)</f>
        <v>5.5808146436763538E-2</v>
      </c>
    </row>
    <row r="33" spans="1:15" s="6" customFormat="1" ht="15" customHeight="1">
      <c r="A33" s="6" t="s">
        <v>424</v>
      </c>
      <c r="B33" s="75" t="s">
        <v>423</v>
      </c>
    </row>
    <row r="34" spans="1:15" s="6" customFormat="1" ht="15" customHeight="1">
      <c r="A34" s="6" t="s">
        <v>426</v>
      </c>
      <c r="B34" s="105">
        <v>0.04</v>
      </c>
      <c r="G34" s="59" t="s">
        <v>448</v>
      </c>
    </row>
    <row r="35" spans="1:15" s="6" customFormat="1" ht="15" customHeight="1">
      <c r="A35" s="6" t="s">
        <v>425</v>
      </c>
      <c r="B35" s="75" t="s">
        <v>439</v>
      </c>
      <c r="G35" s="12" t="s">
        <v>370</v>
      </c>
      <c r="H35" s="12" t="s">
        <v>5</v>
      </c>
      <c r="I35" s="12" t="s">
        <v>153</v>
      </c>
      <c r="J35" s="12" t="s">
        <v>371</v>
      </c>
      <c r="K35" s="12" t="s">
        <v>193</v>
      </c>
      <c r="L35" s="12" t="s">
        <v>135</v>
      </c>
    </row>
    <row r="36" spans="1:15" s="6" customFormat="1" ht="15" customHeight="1">
      <c r="A36" s="6" t="s">
        <v>442</v>
      </c>
      <c r="B36" s="75">
        <v>2</v>
      </c>
      <c r="G36" s="81" t="s">
        <v>650</v>
      </c>
      <c r="H36" s="86">
        <v>195010</v>
      </c>
      <c r="I36" s="87">
        <f>IF(G36=0,,VLOOKUP(G36,'Industry Averages(US)'!$A$2:$S$95,15))</f>
        <v>6.6298031887285918</v>
      </c>
      <c r="J36" s="88">
        <f>H36*I36</f>
        <v>1292877.9198339626</v>
      </c>
      <c r="K36" s="176">
        <f>IF(I36=0,0,VLOOKUP(G36,'Industry Averages(US)'!$A$2:$S$95,7))</f>
        <v>1.3245870396777912</v>
      </c>
      <c r="L36" s="178">
        <f>IF(I36=0,0,VLOOKUP(G36,'Industry Averages(US)'!$A$2:$S$95,13))</f>
        <v>9.7070731326658444E-2</v>
      </c>
    </row>
    <row r="37" spans="1:15" s="6" customFormat="1" ht="15" customHeight="1">
      <c r="A37" s="6" t="s">
        <v>113</v>
      </c>
      <c r="B37" s="104">
        <f>IF(B33="Direct Input",B34,IF(B33="Synthetic Rating",'Synthetic rating'!D16,B24+VLOOKUP('Cost of capital worksheet'!B35,'Synthetic rating'!G42:H56,2)))</f>
        <v>5.2803000000000003E-2</v>
      </c>
      <c r="G37" s="81" t="s">
        <v>608</v>
      </c>
      <c r="H37" s="86">
        <v>43000</v>
      </c>
      <c r="I37" s="87">
        <f>IF(G37=0,,VLOOKUP(G37,'Industry Averages(US)'!$A$2:$S$95,15))</f>
        <v>3.2061627768537928</v>
      </c>
      <c r="J37" s="88">
        <f>H37*I37</f>
        <v>137864.9994047131</v>
      </c>
      <c r="K37" s="176">
        <f>IF(I37=0,0,VLOOKUP(G37,'Industry Averages(US)'!$A$2:$S$95,7))</f>
        <v>0.93745455958545454</v>
      </c>
      <c r="L37" s="178">
        <f>IF(I37=0,0,VLOOKUP(G37,'Industry Averages(US)'!$A$2:$S$95,13))</f>
        <v>7.8548315008803479E-2</v>
      </c>
    </row>
    <row r="38" spans="1:15" s="6" customFormat="1" ht="15" customHeight="1">
      <c r="A38" s="6" t="s">
        <v>173</v>
      </c>
      <c r="B38" s="106">
        <f>'Input sheet'!B24</f>
        <v>0.25</v>
      </c>
      <c r="G38" s="81" t="s">
        <v>480</v>
      </c>
      <c r="H38" s="86">
        <v>15000</v>
      </c>
      <c r="I38" s="87">
        <f>IF(G38=0,,VLOOKUP(G38,'Industry Averages(US)'!$A$2:$S$95,15))</f>
        <v>4.3338246579297142</v>
      </c>
      <c r="J38" s="88">
        <f t="shared" ref="J38:J47" si="4">H38*I38</f>
        <v>65007.369868945716</v>
      </c>
      <c r="K38" s="176">
        <f>IF(I38=0,0,VLOOKUP(G38,'Industry Averages(US)'!$A$2:$S$95,7))</f>
        <v>0.76284683078309479</v>
      </c>
      <c r="L38" s="178">
        <f>IF(I38=0,0,VLOOKUP(G38,'Industry Averages(US)'!$A$2:$S$95,13))</f>
        <v>7.1275290875700767E-2</v>
      </c>
    </row>
    <row r="39" spans="1:15" s="6" customFormat="1" ht="15" customHeight="1">
      <c r="G39" s="81"/>
      <c r="H39" s="86"/>
      <c r="I39" s="87">
        <f>IF(G39=0,,VLOOKUP(G39,'Industry Averages(US)'!$A$2:$S$95,15))</f>
        <v>0</v>
      </c>
      <c r="J39" s="88">
        <f t="shared" si="4"/>
        <v>0</v>
      </c>
      <c r="K39" s="176">
        <f>IF(I39=0,0,VLOOKUP(G39,'Industry Averages(US)'!$A$2:$S$95,7))</f>
        <v>0</v>
      </c>
      <c r="L39" s="178">
        <f>IF(I39=0,0,VLOOKUP(G39,'Industry Averages(US)'!$A$2:$S$95,13))</f>
        <v>0</v>
      </c>
    </row>
    <row r="40" spans="1:15" s="61" customFormat="1" ht="15" customHeight="1">
      <c r="A40" s="6" t="s">
        <v>174</v>
      </c>
      <c r="B40" s="60">
        <v>0</v>
      </c>
      <c r="C40" s="6"/>
      <c r="D40" s="6"/>
      <c r="E40" s="6"/>
      <c r="F40" s="6"/>
      <c r="G40" s="81"/>
      <c r="H40" s="86"/>
      <c r="I40" s="87">
        <f>IF(G40=0,,VLOOKUP(G40,'Industry Averages(US)'!$A$2:$S$95,15))</f>
        <v>0</v>
      </c>
      <c r="J40" s="88">
        <f t="shared" si="4"/>
        <v>0</v>
      </c>
      <c r="K40" s="176">
        <f>IF(I40=0,0,VLOOKUP(G40,'Industry Averages(US)'!$A$2:$S$95,7))</f>
        <v>0</v>
      </c>
      <c r="L40" s="178">
        <f>IF(I40=0,0,VLOOKUP(G40,'Industry Averages(US)'!$A$2:$S$95,13))</f>
        <v>0</v>
      </c>
    </row>
    <row r="41" spans="1:15" s="6" customFormat="1" ht="15" customHeight="1">
      <c r="A41" s="6" t="s">
        <v>175</v>
      </c>
      <c r="B41" s="60">
        <v>0</v>
      </c>
      <c r="G41" s="81"/>
      <c r="H41" s="86"/>
      <c r="I41" s="87">
        <f>IF(G41=0,,VLOOKUP(G41,'Industry Averages(US)'!$A$2:$S$95,15))</f>
        <v>0</v>
      </c>
      <c r="J41" s="88">
        <f t="shared" si="4"/>
        <v>0</v>
      </c>
      <c r="K41" s="176">
        <f>IF(I41=0,0,VLOOKUP(G41,'Industry Averages(US)'!$A$2:$S$95,7))</f>
        <v>0</v>
      </c>
      <c r="L41" s="178">
        <f>IF(I41=0,0,VLOOKUP(G41,'Industry Averages(US)'!$A$2:$S$95,13))</f>
        <v>0</v>
      </c>
    </row>
    <row r="42" spans="1:15" s="6" customFormat="1" ht="15" customHeight="1">
      <c r="A42" s="6" t="s">
        <v>176</v>
      </c>
      <c r="B42" s="60">
        <v>0</v>
      </c>
      <c r="G42" s="81"/>
      <c r="H42" s="86"/>
      <c r="I42" s="87">
        <f>IF(G42=0,,VLOOKUP(G42,'Industry Averages(US)'!$A$2:$S$95,15))</f>
        <v>0</v>
      </c>
      <c r="J42" s="88">
        <f t="shared" si="4"/>
        <v>0</v>
      </c>
      <c r="K42" s="176">
        <f>IF(I42=0,0,VLOOKUP(G42,'Industry Averages(US)'!$A$2:$S$95,7))</f>
        <v>0</v>
      </c>
      <c r="L42" s="178">
        <f>IF(I42=0,0,VLOOKUP(G42,'Industry Averages(US)'!$A$2:$S$95,13))</f>
        <v>0</v>
      </c>
    </row>
    <row r="43" spans="1:15" s="6" customFormat="1" ht="15" customHeight="1">
      <c r="A43" s="6" t="s">
        <v>177</v>
      </c>
      <c r="B43" s="60">
        <v>0</v>
      </c>
      <c r="G43" s="81"/>
      <c r="H43" s="86"/>
      <c r="I43" s="87">
        <f>IF(G43=0,,VLOOKUP(G43,'Industry Averages(US)'!$A$2:$S$95,15))</f>
        <v>0</v>
      </c>
      <c r="J43" s="88">
        <f t="shared" si="4"/>
        <v>0</v>
      </c>
      <c r="K43" s="176">
        <f>IF(I43=0,0,VLOOKUP(G43,'Industry Averages(US)'!$A$2:$S$95,7))</f>
        <v>0</v>
      </c>
      <c r="L43" s="178">
        <f>IF(I43=0,0,VLOOKUP(G43,'Industry Averages(US)'!$A$2:$S$95,13))</f>
        <v>0</v>
      </c>
    </row>
    <row r="44" spans="1:15" ht="14">
      <c r="A44" s="6"/>
      <c r="B44" s="6"/>
      <c r="C44" s="6"/>
      <c r="D44" s="6"/>
      <c r="E44" s="6"/>
      <c r="F44" s="6"/>
      <c r="G44" s="81"/>
      <c r="H44" s="86"/>
      <c r="I44" s="87">
        <f>IF(G44=0,,VLOOKUP(G44,'Industry Averages(US)'!$A$2:$S$95,15))</f>
        <v>0</v>
      </c>
      <c r="J44" s="88">
        <f t="shared" si="4"/>
        <v>0</v>
      </c>
      <c r="K44" s="176">
        <f>IF(I44=0,0,VLOOKUP(G44,'Industry Averages(US)'!$A$2:$S$95,7))</f>
        <v>0</v>
      </c>
      <c r="L44" s="178">
        <f>IF(I44=0,0,VLOOKUP(G44,'Industry Averages(US)'!$A$2:$S$95,13))</f>
        <v>0</v>
      </c>
      <c r="M44" s="640" t="s">
        <v>737</v>
      </c>
      <c r="N44" s="640"/>
      <c r="O44" s="640"/>
    </row>
    <row r="45" spans="1:15" ht="14">
      <c r="A45" s="6" t="s">
        <v>178</v>
      </c>
      <c r="B45" s="64">
        <f>IF('Input sheet'!B17="Yes",'Operating lease converter'!F33,0)</f>
        <v>0</v>
      </c>
      <c r="C45" s="6"/>
      <c r="D45" s="6"/>
      <c r="E45" s="6"/>
      <c r="F45" s="6"/>
      <c r="G45" s="81"/>
      <c r="H45" s="86"/>
      <c r="I45" s="87">
        <f>IF(G45=0,,VLOOKUP(G45,'Industry Averages(US)'!$A$2:$S$95,15))</f>
        <v>0</v>
      </c>
      <c r="J45" s="88">
        <f t="shared" si="4"/>
        <v>0</v>
      </c>
      <c r="K45" s="176">
        <f>IF(I45=0,0,VLOOKUP(G45,'Industry Averages(US)'!$A$2:$S$95,7))</f>
        <v>0</v>
      </c>
      <c r="L45" s="178">
        <f>IF(I45=0,0,VLOOKUP(G45,'Industry Averages(US)'!$A$2:$S$95,13))</f>
        <v>0</v>
      </c>
      <c r="M45" s="640"/>
      <c r="N45" s="640"/>
      <c r="O45" s="640"/>
    </row>
    <row r="46" spans="1:15" ht="14">
      <c r="A46" s="6"/>
      <c r="B46" s="6"/>
      <c r="C46" s="6"/>
      <c r="D46" s="6"/>
      <c r="E46" s="6"/>
      <c r="F46" s="6"/>
      <c r="G46" s="81"/>
      <c r="H46" s="86"/>
      <c r="I46" s="87">
        <f>IF(G46=0,,VLOOKUP(G46,'Industry Averages(US)'!$A$2:$S$95,15))</f>
        <v>0</v>
      </c>
      <c r="J46" s="88">
        <f t="shared" si="4"/>
        <v>0</v>
      </c>
      <c r="K46" s="176">
        <f>IF(I46=0,0,VLOOKUP(G46,'Industry Averages(US)'!$A$2:$S$95,7))</f>
        <v>0</v>
      </c>
      <c r="L46" s="178">
        <f>IF(I46=0,0,VLOOKUP(G46,'Industry Averages(US)'!$A$2:$S$95,13))</f>
        <v>0</v>
      </c>
      <c r="M46" s="640"/>
      <c r="N46" s="640"/>
      <c r="O46" s="640"/>
    </row>
    <row r="47" spans="1:15" ht="14">
      <c r="A47" s="11" t="s">
        <v>179</v>
      </c>
      <c r="B47" s="6"/>
      <c r="C47" s="6"/>
      <c r="D47" s="6"/>
      <c r="E47" s="6"/>
      <c r="F47" s="6"/>
      <c r="G47" s="81"/>
      <c r="H47" s="86"/>
      <c r="I47" s="87">
        <f>IF(G47=0,,VLOOKUP(G47,'Industry Averages(US)'!$A$2:$S$95,15))</f>
        <v>0</v>
      </c>
      <c r="J47" s="88">
        <f t="shared" si="4"/>
        <v>0</v>
      </c>
      <c r="K47" s="176">
        <f>IF(I47=0,0,VLOOKUP(G47,'Industry Averages(US)'!$A$2:$S$95,7))</f>
        <v>0</v>
      </c>
      <c r="L47" s="178">
        <f>IF(I47=0,0,VLOOKUP(G47,'Industry Averages(US)'!$A$2:$S$95,13))</f>
        <v>0</v>
      </c>
      <c r="M47" s="640"/>
      <c r="N47" s="640"/>
      <c r="O47" s="640"/>
    </row>
    <row r="48" spans="1:15" ht="14">
      <c r="A48" s="6" t="s">
        <v>180</v>
      </c>
      <c r="B48" s="60">
        <v>0</v>
      </c>
      <c r="C48" s="6"/>
      <c r="D48" s="6"/>
      <c r="E48" s="6"/>
      <c r="F48" s="6"/>
      <c r="G48" s="89" t="s">
        <v>221</v>
      </c>
      <c r="H48" s="90">
        <f>SUM(H36:H47)</f>
        <v>253010</v>
      </c>
      <c r="I48" s="91"/>
      <c r="J48" s="88">
        <f>SUM(J36:J47)</f>
        <v>1495750.2891076214</v>
      </c>
      <c r="K48" s="177">
        <f>K36*(J36/J48)+K37*J37/J48+K38*J38/J48+K39*J39/J48+K40*J40/J48+K41*J41/J48+K42*J42/J48+K43*J43/J48+K44*J44/J48+K45*J45/J48+K46*J46/J48+K47*J47/J48</f>
        <v>1.2644905962260036</v>
      </c>
      <c r="L48" s="179">
        <f>L36*(J36/J48)+L37*J37/J48+L38*J38/J48+L39*J39/J48+L40*J40/J48+L41*J41/J48+L42*J42/J48+L43*J43/J48+L44*J44/J48+L45*J45/J48+L46*J46/J48+L47*J47/J48</f>
        <v>9.4242393813525394E-2</v>
      </c>
      <c r="M48" s="640"/>
      <c r="N48" s="640"/>
      <c r="O48" s="640"/>
    </row>
    <row r="49" spans="1:15" ht="14">
      <c r="A49" s="6" t="s">
        <v>181</v>
      </c>
      <c r="B49" s="60">
        <v>70</v>
      </c>
      <c r="C49" s="6"/>
      <c r="D49" s="6"/>
      <c r="E49" s="6"/>
      <c r="F49" s="6"/>
    </row>
    <row r="50" spans="1:15" ht="18">
      <c r="A50" s="6" t="s">
        <v>182</v>
      </c>
      <c r="B50" s="60">
        <v>5</v>
      </c>
      <c r="C50" s="6"/>
      <c r="D50" s="6"/>
      <c r="E50" s="6"/>
      <c r="F50" s="6"/>
      <c r="G50" s="109" t="s">
        <v>449</v>
      </c>
    </row>
    <row r="51" spans="1:15" ht="14">
      <c r="A51" s="6"/>
      <c r="B51" s="6"/>
      <c r="C51" s="6"/>
      <c r="D51" s="6"/>
      <c r="E51" s="6"/>
      <c r="F51" s="6"/>
      <c r="G51" s="12" t="s">
        <v>370</v>
      </c>
      <c r="H51" s="12" t="s">
        <v>5</v>
      </c>
      <c r="I51" s="12" t="s">
        <v>153</v>
      </c>
      <c r="J51" s="12" t="s">
        <v>371</v>
      </c>
      <c r="K51" s="12" t="s">
        <v>193</v>
      </c>
      <c r="L51" s="12" t="s">
        <v>135</v>
      </c>
    </row>
    <row r="52" spans="1:15" ht="14">
      <c r="A52" s="8" t="s">
        <v>112</v>
      </c>
      <c r="B52" s="6"/>
      <c r="C52" s="6"/>
      <c r="D52" s="6"/>
      <c r="E52" s="6"/>
      <c r="F52" s="6"/>
      <c r="G52" s="81" t="s">
        <v>608</v>
      </c>
      <c r="H52" s="86">
        <v>81363</v>
      </c>
      <c r="I52" s="87">
        <f>IF(G52=0,,VLOOKUP(G52,'Industry Averages (Global)'!$A$2:$O$95,15))</f>
        <v>2.2285380173191371</v>
      </c>
      <c r="J52" s="88">
        <f>H52*I52</f>
        <v>181320.53870313696</v>
      </c>
      <c r="K52" s="87">
        <f>IF(G52=0,,VLOOKUP(G52,'Industry Averages (Global)'!$A$2:$O$95,7))</f>
        <v>1.568504800835242</v>
      </c>
      <c r="L52" s="178">
        <f>IF(I52=0,0,VLOOKUP(G52,'Industry Averages (Global)'!$A$2:$M$95,13))</f>
        <v>0.1187602444873785</v>
      </c>
    </row>
    <row r="53" spans="1:15" ht="14">
      <c r="A53" s="12" t="s">
        <v>183</v>
      </c>
      <c r="B53" s="12"/>
      <c r="C53" s="65">
        <f>B31*(1-(1+B37)^(-B32))/B37+B30/(1+B37)^B32</f>
        <v>39953.644611863929</v>
      </c>
      <c r="D53" s="6"/>
      <c r="E53" s="6"/>
      <c r="F53" s="6"/>
      <c r="G53" s="81"/>
      <c r="H53" s="86"/>
      <c r="I53" s="87">
        <f>IF(G53=0,,VLOOKUP(G53,'Industry Averages (Global)'!$A$2:$O$95,15))</f>
        <v>0</v>
      </c>
      <c r="J53" s="88">
        <f>H53*I53</f>
        <v>0</v>
      </c>
      <c r="K53" s="87">
        <f>IF(G53=0,,VLOOKUP(G53,'Industry Averages (Global)'!$A$2:$O$95,7))</f>
        <v>0</v>
      </c>
      <c r="L53" s="178">
        <f>IF(I53=0,0,VLOOKUP(G53,'Industry Averages (Global)'!$A$2:$M$95,13))</f>
        <v>0</v>
      </c>
    </row>
    <row r="54" spans="1:15" ht="14">
      <c r="A54" s="12" t="s">
        <v>184</v>
      </c>
      <c r="B54" s="12"/>
      <c r="C54" s="65">
        <f>B41*(1-(1+B37)^(-B42))/B37+B40/(1+B37)^B42</f>
        <v>0</v>
      </c>
      <c r="D54" s="6"/>
      <c r="E54" s="6"/>
      <c r="F54" s="6"/>
      <c r="G54" s="81"/>
      <c r="H54" s="86"/>
      <c r="I54" s="87">
        <f>IF(G54=0,,VLOOKUP(G54,'Industry Averages (Global)'!$A$2:$O$95,15))</f>
        <v>0</v>
      </c>
      <c r="J54" s="88">
        <f t="shared" ref="J54:J63" si="5">H54*I54</f>
        <v>0</v>
      </c>
      <c r="K54" s="87">
        <f>IF(G54=0,,VLOOKUP(G54,'Industry Averages (Global)'!$A$2:$O$95,7))</f>
        <v>0</v>
      </c>
      <c r="L54" s="178">
        <f>IF(I54=0,0,VLOOKUP(G54,'Industry Averages (Global)'!$A$2:$M$95,13))</f>
        <v>0</v>
      </c>
    </row>
    <row r="55" spans="1:15" ht="14">
      <c r="A55" s="12" t="s">
        <v>185</v>
      </c>
      <c r="B55" s="12"/>
      <c r="C55" s="65">
        <f>B45</f>
        <v>0</v>
      </c>
      <c r="D55" s="6"/>
      <c r="E55" s="6"/>
      <c r="F55" s="6"/>
      <c r="G55" s="81"/>
      <c r="H55" s="86"/>
      <c r="I55" s="87">
        <f>IF(G55=0,,VLOOKUP(G55,'Industry Averages (Global)'!$A$2:$O$95,15))</f>
        <v>0</v>
      </c>
      <c r="J55" s="88">
        <f t="shared" si="5"/>
        <v>0</v>
      </c>
      <c r="K55" s="87">
        <f>IF(G55=0,,VLOOKUP(G55,'Industry Averages (Global)'!$A$2:$O$95,7))</f>
        <v>0</v>
      </c>
      <c r="L55" s="178">
        <f>IF(I55=0,0,VLOOKUP(G55,'Industry Averages (Global)'!$A$2:$M$95,13))</f>
        <v>0</v>
      </c>
    </row>
    <row r="56" spans="1:15" ht="14">
      <c r="A56" s="12" t="s">
        <v>186</v>
      </c>
      <c r="B56" s="12"/>
      <c r="C56" s="65">
        <f>B43-C54</f>
        <v>0</v>
      </c>
      <c r="D56" s="6"/>
      <c r="E56" s="6"/>
      <c r="F56" s="6"/>
      <c r="G56" s="81"/>
      <c r="H56" s="86"/>
      <c r="I56" s="87">
        <f>IF(G56=0,,VLOOKUP(G56,'Industry Averages (Global)'!$A$2:$O$95,15))</f>
        <v>0</v>
      </c>
      <c r="J56" s="88">
        <f t="shared" si="5"/>
        <v>0</v>
      </c>
      <c r="K56" s="87">
        <f>IF(G56=0,,VLOOKUP(G56,'Industry Averages (Global)'!$A$2:$O$95,7))</f>
        <v>0</v>
      </c>
      <c r="L56" s="178">
        <f>IF(I56=0,0,VLOOKUP(G56,'Industry Averages (Global)'!$A$2:$M$95,13))</f>
        <v>0</v>
      </c>
    </row>
    <row r="57" spans="1:15" ht="14">
      <c r="A57" s="12" t="s">
        <v>194</v>
      </c>
      <c r="B57" s="12"/>
      <c r="C57" s="71">
        <f>IF(B21="Direct Input",B22,B23*(1+(1-B38)*(C60/B60)))</f>
        <v>0.51452453102210072</v>
      </c>
      <c r="D57" s="6"/>
      <c r="E57" s="6"/>
      <c r="F57" s="6"/>
      <c r="G57" s="81"/>
      <c r="H57" s="86"/>
      <c r="I57" s="87">
        <f>IF(G57=0,,VLOOKUP(G57,'Industry Averages (Global)'!$A$2:$O$95,15))</f>
        <v>0</v>
      </c>
      <c r="J57" s="88">
        <f t="shared" si="5"/>
        <v>0</v>
      </c>
      <c r="K57" s="87">
        <f>IF(G57=0,,VLOOKUP(G57,'Industry Averages (Global)'!$A$2:$O$95,7))</f>
        <v>0</v>
      </c>
      <c r="L57" s="178">
        <f>IF(I57=0,0,VLOOKUP(G57,'Industry Averages (Global)'!$A$2:$M$95,13))</f>
        <v>0</v>
      </c>
    </row>
    <row r="58" spans="1:15" ht="14">
      <c r="A58" s="6"/>
      <c r="B58" s="6"/>
      <c r="C58" s="71"/>
      <c r="D58" s="6"/>
      <c r="E58" s="6"/>
      <c r="F58" s="6"/>
      <c r="G58" s="81"/>
      <c r="H58" s="86"/>
      <c r="I58" s="87">
        <f>IF(G58=0,,VLOOKUP(G58,'Industry Averages (Global)'!$A$2:$O$95,15))</f>
        <v>0</v>
      </c>
      <c r="J58" s="88">
        <f t="shared" si="5"/>
        <v>0</v>
      </c>
      <c r="K58" s="87">
        <f>IF(G58=0,,VLOOKUP(G58,'Industry Averages (Global)'!$A$2:$O$95,7))</f>
        <v>0</v>
      </c>
      <c r="L58" s="178">
        <f>IF(I58=0,0,VLOOKUP(G58,'Industry Averages (Global)'!$A$2:$M$95,13))</f>
        <v>0</v>
      </c>
    </row>
    <row r="59" spans="1:15" ht="14">
      <c r="A59" s="61"/>
      <c r="B59" s="62" t="s">
        <v>165</v>
      </c>
      <c r="C59" s="62" t="s">
        <v>187</v>
      </c>
      <c r="D59" s="62" t="s">
        <v>179</v>
      </c>
      <c r="E59" s="62" t="s">
        <v>188</v>
      </c>
      <c r="F59" s="61"/>
      <c r="G59" s="81"/>
      <c r="H59" s="86"/>
      <c r="I59" s="87">
        <f>IF(G59=0,,VLOOKUP(G59,'Industry Averages (Global)'!$A$2:$O$95,15))</f>
        <v>0</v>
      </c>
      <c r="J59" s="88">
        <f t="shared" si="5"/>
        <v>0</v>
      </c>
      <c r="K59" s="87">
        <f>IF(G59=0,,VLOOKUP(G59,'Industry Averages (Global)'!$A$2:$O$95,7))</f>
        <v>0</v>
      </c>
      <c r="L59" s="178">
        <f>IF(I59=0,0,VLOOKUP(G59,'Industry Averages (Global)'!$A$2:$M$95,13))</f>
        <v>0</v>
      </c>
    </row>
    <row r="60" spans="1:15" ht="14">
      <c r="A60" s="12" t="s">
        <v>189</v>
      </c>
      <c r="B60" s="65">
        <f>B18*B19</f>
        <v>311888.2</v>
      </c>
      <c r="C60" s="165">
        <f>C53+C54+C55</f>
        <v>39953.644611863929</v>
      </c>
      <c r="D60" s="65">
        <f>B48*B49</f>
        <v>0</v>
      </c>
      <c r="E60" s="165">
        <f>SUM(B60:D60)</f>
        <v>351841.84461186395</v>
      </c>
      <c r="F60" s="6"/>
      <c r="G60" s="81"/>
      <c r="H60" s="86"/>
      <c r="I60" s="87">
        <f>IF(G60=0,,VLOOKUP(G60,'Industry Averages (Global)'!$A$2:$O$95,15))</f>
        <v>0</v>
      </c>
      <c r="J60" s="88">
        <f t="shared" si="5"/>
        <v>0</v>
      </c>
      <c r="K60" s="87">
        <f>IF(G60=0,,VLOOKUP(G60,'Industry Averages (Global)'!$A$2:$O$95,7))</f>
        <v>0</v>
      </c>
      <c r="L60" s="178">
        <f>IF(I60=0,0,VLOOKUP(G60,'Industry Averages (Global)'!$A$2:$M$95,13))</f>
        <v>0</v>
      </c>
      <c r="M60" s="640" t="s">
        <v>850</v>
      </c>
      <c r="N60" s="640"/>
      <c r="O60" s="640"/>
    </row>
    <row r="61" spans="1:15" ht="15" thickBot="1">
      <c r="A61" s="12" t="s">
        <v>190</v>
      </c>
      <c r="B61" s="66">
        <f>B60/$E$60</f>
        <v>0.88644430665733065</v>
      </c>
      <c r="C61" s="66">
        <f>C60/$E$60</f>
        <v>0.11355569334266931</v>
      </c>
      <c r="D61" s="66">
        <f>D60/$E$60</f>
        <v>0</v>
      </c>
      <c r="E61" s="67">
        <f>SUM(B61:D61)</f>
        <v>1</v>
      </c>
      <c r="F61" s="6"/>
      <c r="G61" s="81"/>
      <c r="H61" s="86"/>
      <c r="I61" s="87">
        <f>IF(G61=0,,VLOOKUP(G61,'Industry Averages (Global)'!$A$2:$O$95,15))</f>
        <v>0</v>
      </c>
      <c r="J61" s="88">
        <f t="shared" si="5"/>
        <v>0</v>
      </c>
      <c r="K61" s="87">
        <f>IF(G61=0,,VLOOKUP(G61,'Industry Averages (Global)'!$A$2:$O$95,7))</f>
        <v>0</v>
      </c>
      <c r="L61" s="178">
        <f>IF(I61=0,0,VLOOKUP(G61,'Industry Averages (Global)'!$A$2:$M$95,13))</f>
        <v>0</v>
      </c>
      <c r="M61" s="640"/>
      <c r="N61" s="640"/>
      <c r="O61" s="640"/>
    </row>
    <row r="62" spans="1:15" ht="15" thickBot="1">
      <c r="A62" s="12" t="s">
        <v>191</v>
      </c>
      <c r="B62" s="68">
        <f>B24+C57*B27</f>
        <v>7.4514660372588484E-2</v>
      </c>
      <c r="C62" s="66">
        <f>B37*(1-B38)</f>
        <v>3.9602250000000006E-2</v>
      </c>
      <c r="D62" s="69">
        <f>B50/B49</f>
        <v>7.1428571428571425E-2</v>
      </c>
      <c r="E62" s="70">
        <f>B61*B62+C61*C62+D61*D62</f>
        <v>7.0550157406465405E-2</v>
      </c>
      <c r="F62" s="6"/>
      <c r="G62" s="81"/>
      <c r="H62" s="86"/>
      <c r="I62" s="87">
        <f>IF(G62=0,,VLOOKUP(G62,'Industry Averages (Global)'!$A$2:$O$95,15))</f>
        <v>0</v>
      </c>
      <c r="J62" s="88">
        <f t="shared" si="5"/>
        <v>0</v>
      </c>
      <c r="K62" s="87">
        <f>IF(G62=0,,VLOOKUP(G62,'Industry Averages (Global)'!$A$2:$O$95,7))</f>
        <v>0</v>
      </c>
      <c r="L62" s="178">
        <f>IF(I62=0,0,VLOOKUP(G62,'Industry Averages (Global)'!$A$2:$M$95,13))</f>
        <v>0</v>
      </c>
      <c r="M62" s="640"/>
      <c r="N62" s="640"/>
      <c r="O62" s="640"/>
    </row>
    <row r="63" spans="1:15" ht="14">
      <c r="G63" s="81"/>
      <c r="H63" s="86"/>
      <c r="I63" s="87">
        <f>IF(G63=0,,VLOOKUP(G63,'Industry Averages (Global)'!$A$2:$O$95,15))</f>
        <v>0</v>
      </c>
      <c r="J63" s="88">
        <f t="shared" si="5"/>
        <v>0</v>
      </c>
      <c r="K63" s="87">
        <f>IF(G63=0,,VLOOKUP(G63,'Industry Averages (Global)'!$A$2:$O$95,7))</f>
        <v>0</v>
      </c>
      <c r="L63" s="178">
        <f>IF(I63=0,0,VLOOKUP(G63,'Industry Averages (Global)'!$A$2:$M$95,13))</f>
        <v>0</v>
      </c>
      <c r="M63" s="640"/>
      <c r="N63" s="640"/>
      <c r="O63" s="640"/>
    </row>
    <row r="64" spans="1:15" ht="15" thickBot="1">
      <c r="G64" s="89" t="s">
        <v>221</v>
      </c>
      <c r="H64" s="90">
        <f>SUM(H52:H63)</f>
        <v>81363</v>
      </c>
      <c r="I64" s="91"/>
      <c r="J64" s="88">
        <f>SUM(J52:J63)</f>
        <v>181320.53870313696</v>
      </c>
      <c r="K64" s="91">
        <f>K52*(J52/J64)+K53*J53/J64+K54*J54/J64+K55*J55/J64+K56*J56/J64+K57*J57/J64+K58*J58/J64+K59*J59/J64+K60*J60/J64+K61*J61/J64+K62*J62/J64+K63*J63/J64</f>
        <v>1.568504800835242</v>
      </c>
      <c r="L64" s="179">
        <f>L52*(J52/J64)+L53*J53/J64+L54*J54/J64+L55*J55/J64+L56*J56/J64+L57*J57/J64+L58*J58/J64+L59*J59/J64+L60*J60/J64+L61*J61/J64+L62*J62/J64+L63*J63/J64</f>
        <v>0.1187602444873785</v>
      </c>
      <c r="M64" s="640"/>
      <c r="N64" s="640"/>
      <c r="O64" s="640"/>
    </row>
    <row r="65" spans="1:18" ht="17" thickBot="1">
      <c r="A65" s="647" t="s">
        <v>716</v>
      </c>
      <c r="B65" s="648"/>
      <c r="C65" s="648"/>
      <c r="D65" s="648"/>
      <c r="E65" s="648"/>
      <c r="F65" s="649"/>
    </row>
    <row r="66" spans="1:18" ht="15" thickBot="1">
      <c r="A66" s="6" t="s">
        <v>717</v>
      </c>
      <c r="B66" s="180" t="s">
        <v>453</v>
      </c>
    </row>
    <row r="67" spans="1:18" ht="14" thickBot="1">
      <c r="A67" t="s">
        <v>718</v>
      </c>
      <c r="B67" s="181">
        <f>IF(B66="Single Business(US)",(VLOOKUP('Input sheet'!B8,'Industry Averages(US)'!A2:M95,13)+('Input sheet'!B34-4.58%)),IF(B66="Multibusiness(US)",L48+('Input sheet'!B34-4.58%),IF(B66="Single Business(Global)",(VLOOKUP('Input sheet'!B8,'Industry Averages (Global)'!A2:M95,13)+('Input sheet'!B34-4.58%)),L64+('Input sheet'!B34-4.58%))))</f>
        <v>9.4242393813525394E-2</v>
      </c>
    </row>
    <row r="68" spans="1:18" ht="14" thickBot="1"/>
    <row r="69" spans="1:18" ht="17" thickBot="1">
      <c r="A69" s="647" t="s">
        <v>719</v>
      </c>
      <c r="B69" s="650"/>
      <c r="C69" s="648"/>
      <c r="D69" s="648"/>
      <c r="E69" s="648"/>
      <c r="F69" s="649"/>
    </row>
    <row r="70" spans="1:18">
      <c r="A70" t="s">
        <v>720</v>
      </c>
      <c r="B70" s="186" t="s">
        <v>721</v>
      </c>
    </row>
    <row r="71" spans="1:18">
      <c r="A71" t="s">
        <v>883</v>
      </c>
      <c r="B71" s="186" t="s">
        <v>729</v>
      </c>
    </row>
    <row r="72" spans="1:18">
      <c r="A72" t="s">
        <v>728</v>
      </c>
      <c r="B72" s="179">
        <f>VLOOKUP(B70,A75:F79,IF(B71="First Decile",2,IF(B71="First Quartile",3,IF(B71="Median",4,IF(B71="Third Quartile",5,6)))))</f>
        <v>7.7903913191275001E-2</v>
      </c>
    </row>
    <row r="74" spans="1:18" ht="14">
      <c r="A74" s="496" t="s">
        <v>335</v>
      </c>
      <c r="B74" s="497" t="s">
        <v>884</v>
      </c>
      <c r="C74" s="498" t="s">
        <v>886</v>
      </c>
      <c r="D74" s="498" t="s">
        <v>729</v>
      </c>
      <c r="E74" s="498" t="s">
        <v>730</v>
      </c>
      <c r="F74" s="498" t="s">
        <v>885</v>
      </c>
    </row>
    <row r="75" spans="1:18">
      <c r="A75" s="496" t="s">
        <v>722</v>
      </c>
      <c r="B75" s="499">
        <v>6.6532332574994996E-2</v>
      </c>
      <c r="C75" s="499">
        <v>7.6287040431453401E-2</v>
      </c>
      <c r="D75" s="499">
        <v>8.9543410304161103E-2</v>
      </c>
      <c r="E75" s="499">
        <v>0.106923420460042</v>
      </c>
      <c r="F75" s="499">
        <v>0.125494141848594</v>
      </c>
      <c r="H75" s="234"/>
      <c r="I75" s="234"/>
      <c r="J75" s="234"/>
      <c r="K75" s="234"/>
      <c r="L75" s="234"/>
      <c r="N75" s="485"/>
      <c r="O75" s="485"/>
      <c r="P75" s="485"/>
      <c r="Q75" s="485"/>
      <c r="R75" s="485"/>
    </row>
    <row r="76" spans="1:18">
      <c r="A76" s="496" t="s">
        <v>882</v>
      </c>
      <c r="B76" s="499">
        <v>5.9919384550473201E-2</v>
      </c>
      <c r="C76" s="499">
        <v>6.8285773653074394E-2</v>
      </c>
      <c r="D76" s="499">
        <v>8.2225393834134602E-2</v>
      </c>
      <c r="E76" s="499">
        <v>9.5713876864433098E-2</v>
      </c>
      <c r="F76" s="499">
        <v>0.11024114909683901</v>
      </c>
      <c r="H76" s="234"/>
      <c r="I76" s="234"/>
      <c r="J76" s="234"/>
      <c r="K76" s="234"/>
      <c r="L76" s="234"/>
      <c r="N76" s="485"/>
      <c r="O76" s="485"/>
      <c r="P76" s="485"/>
      <c r="Q76" s="485"/>
      <c r="R76" s="485"/>
    </row>
    <row r="77" spans="1:18">
      <c r="A77" s="496" t="s">
        <v>465</v>
      </c>
      <c r="B77" s="499">
        <v>6.28222615048004E-2</v>
      </c>
      <c r="C77" s="499">
        <v>7.2448825558560803E-2</v>
      </c>
      <c r="D77" s="499">
        <v>8.6508898749839705E-2</v>
      </c>
      <c r="E77" s="499">
        <v>0.100287313945416</v>
      </c>
      <c r="F77" s="499">
        <v>0.116631464681193</v>
      </c>
      <c r="H77" s="234"/>
      <c r="I77" s="234"/>
      <c r="J77" s="234"/>
      <c r="K77" s="234"/>
      <c r="L77" s="234"/>
      <c r="N77" s="485"/>
      <c r="O77" s="485"/>
      <c r="P77" s="485"/>
      <c r="Q77" s="485"/>
      <c r="R77" s="485"/>
    </row>
    <row r="78" spans="1:18">
      <c r="A78" s="496" t="s">
        <v>279</v>
      </c>
      <c r="B78" s="499">
        <v>6.2956793615331103E-2</v>
      </c>
      <c r="C78" s="499">
        <v>7.0738068585060696E-2</v>
      </c>
      <c r="D78" s="499">
        <v>8.2379348048673806E-2</v>
      </c>
      <c r="E78" s="499">
        <v>9.4346984106127907E-2</v>
      </c>
      <c r="F78" s="499">
        <v>0.107319700894456</v>
      </c>
      <c r="H78" s="234"/>
      <c r="I78" s="234"/>
      <c r="J78" s="234"/>
      <c r="K78" s="234"/>
      <c r="L78" s="234"/>
      <c r="N78" s="485"/>
      <c r="O78" s="485"/>
      <c r="P78" s="485"/>
      <c r="Q78" s="485"/>
      <c r="R78" s="485"/>
    </row>
    <row r="79" spans="1:18">
      <c r="A79" s="496" t="s">
        <v>721</v>
      </c>
      <c r="B79" s="499">
        <v>5.2600788276311899E-2</v>
      </c>
      <c r="C79" s="499">
        <v>6.4110340905474503E-2</v>
      </c>
      <c r="D79" s="499">
        <v>7.7903913191275001E-2</v>
      </c>
      <c r="E79" s="499">
        <v>9.1622586427336797E-2</v>
      </c>
      <c r="F79" s="499">
        <v>9.8770423360607998E-2</v>
      </c>
      <c r="H79" s="234"/>
      <c r="I79" s="234"/>
      <c r="J79" s="234"/>
      <c r="K79" s="234"/>
      <c r="L79" s="234"/>
      <c r="N79" s="485"/>
      <c r="O79" s="485"/>
      <c r="P79" s="485"/>
      <c r="Q79" s="485"/>
      <c r="R79" s="485"/>
    </row>
    <row r="80" spans="1:18">
      <c r="A80" s="630" t="s">
        <v>731</v>
      </c>
      <c r="B80" s="630"/>
      <c r="C80" s="630"/>
      <c r="D80" s="630"/>
      <c r="E80" s="630"/>
      <c r="F80" s="630"/>
    </row>
    <row r="81" spans="1:6">
      <c r="A81" s="630"/>
      <c r="B81" s="630"/>
      <c r="C81" s="630"/>
      <c r="D81" s="630"/>
      <c r="E81" s="630"/>
      <c r="F81" s="630"/>
    </row>
    <row r="84" spans="1:6">
      <c r="B84" s="385"/>
      <c r="C84" s="386"/>
      <c r="D84" s="386"/>
      <c r="E84" s="386"/>
      <c r="F84" s="386"/>
    </row>
    <row r="85" spans="1:6">
      <c r="B85" s="495"/>
      <c r="C85" s="495"/>
      <c r="D85" s="495"/>
      <c r="E85" s="495"/>
      <c r="F85" s="378"/>
    </row>
    <row r="86" spans="1:6">
      <c r="B86" s="495"/>
      <c r="C86" s="495"/>
      <c r="D86" s="495"/>
      <c r="E86" s="495"/>
      <c r="F86" s="378"/>
    </row>
    <row r="87" spans="1:6">
      <c r="B87" s="495"/>
      <c r="C87" s="495"/>
      <c r="D87" s="495"/>
      <c r="E87" s="495"/>
      <c r="F87" s="378"/>
    </row>
    <row r="88" spans="1:6">
      <c r="B88" s="495"/>
      <c r="C88" s="495"/>
      <c r="D88" s="495"/>
      <c r="E88" s="495"/>
      <c r="F88" s="378"/>
    </row>
    <row r="89" spans="1:6">
      <c r="B89" s="495"/>
      <c r="C89" s="495"/>
      <c r="D89" s="495"/>
      <c r="E89" s="495"/>
      <c r="F89" s="378"/>
    </row>
    <row r="91" spans="1:6">
      <c r="B91" s="495"/>
      <c r="C91" s="495"/>
      <c r="D91" s="495"/>
      <c r="E91" s="495"/>
      <c r="F91" s="495"/>
    </row>
  </sheetData>
  <mergeCells count="10">
    <mergeCell ref="A80:F81"/>
    <mergeCell ref="A4:E9"/>
    <mergeCell ref="M44:O48"/>
    <mergeCell ref="M5:Q19"/>
    <mergeCell ref="A1:K2"/>
    <mergeCell ref="A3:E3"/>
    <mergeCell ref="A15:F15"/>
    <mergeCell ref="A65:F65"/>
    <mergeCell ref="A69:F69"/>
    <mergeCell ref="M60:O64"/>
  </mergeCells>
  <dataValidations count="1">
    <dataValidation type="list" allowBlank="1" showInputMessage="1" showErrorMessage="1" sqref="B70" xr:uid="{00000000-0002-0000-0900-000000000000}">
      <formula1>$A$75:$A$79</formula1>
    </dataValidation>
  </dataValidations>
  <pageMargins left="0.75" right="0.75" top="1" bottom="1" header="0.5" footer="0.5"/>
  <pageSetup orientation="portrait" horizontalDpi="4294967292" verticalDpi="4294967292"/>
  <headerFooter alignWithMargins="0"/>
  <legacyDrawing r:id="rId1"/>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900-000001000000}">
          <x14:formula1>
            <xm:f>'Answer keys'!$E$2:$E$3</xm:f>
          </x14:formula1>
          <xm:sqref>B36</xm:sqref>
        </x14:dataValidation>
        <x14:dataValidation type="list" allowBlank="1" showInputMessage="1" showErrorMessage="1" xr:uid="{00000000-0002-0000-0900-000002000000}">
          <x14:formula1>
            <xm:f>'Answer keys'!$I$2:$I$5</xm:f>
          </x14:formula1>
          <xm:sqref>B11</xm:sqref>
        </x14:dataValidation>
        <x14:dataValidation type="list" allowBlank="1" showInputMessage="1" showErrorMessage="1" xr:uid="{00000000-0002-0000-0900-000003000000}">
          <x14:formula1>
            <xm:f>'Answer keys'!$F$2:$F$6</xm:f>
          </x14:formula1>
          <xm:sqref>B21</xm:sqref>
        </x14:dataValidation>
        <x14:dataValidation type="list" allowBlank="1" showInputMessage="1" showErrorMessage="1" xr:uid="{00000000-0002-0000-0900-000004000000}">
          <x14:formula1>
            <xm:f>'Answer keys'!$C$2:$C$5</xm:f>
          </x14:formula1>
          <xm:sqref>B25</xm:sqref>
        </x14:dataValidation>
        <x14:dataValidation type="list" allowBlank="1" showInputMessage="1" showErrorMessage="1" xr:uid="{00000000-0002-0000-0900-000005000000}">
          <x14:formula1>
            <xm:f>'Answer keys'!$D$2:$D$4</xm:f>
          </x14:formula1>
          <xm:sqref>B33</xm:sqref>
        </x14:dataValidation>
        <x14:dataValidation type="list" allowBlank="1" showInputMessage="1" showErrorMessage="1" xr:uid="{00000000-0002-0000-0900-000006000000}">
          <x14:formula1>
            <xm:f>'Answer keys'!$G$2:$G$16</xm:f>
          </x14:formula1>
          <xm:sqref>B35</xm:sqref>
        </x14:dataValidation>
        <x14:dataValidation type="list" allowBlank="1" showInputMessage="1" showErrorMessage="1" xr:uid="{00000000-0002-0000-0900-000007000000}">
          <x14:formula1>
            <xm:f>'Answer keys'!$F$3:$F$6</xm:f>
          </x14:formula1>
          <xm:sqref>B66</xm:sqref>
        </x14:dataValidation>
        <x14:dataValidation type="list" allowBlank="1" showInputMessage="1" showErrorMessage="1" xr:uid="{00000000-0002-0000-0900-000008000000}">
          <x14:formula1>
            <xm:f>'Answer keys'!$H$2:$H$6</xm:f>
          </x14:formula1>
          <xm:sqref>B71</xm:sqref>
        </x14:dataValidation>
        <x14:dataValidation type="list" allowBlank="1" showInputMessage="1" showErrorMessage="1" xr:uid="{4D0A8818-31CB-634D-87A3-E7364E13C84F}">
          <x14:formula1>
            <xm:f>'Industry Averages(US)'!$A$2:$A$95</xm:f>
          </x14:formula1>
          <xm:sqref>G36:G47</xm:sqref>
        </x14:dataValidation>
        <x14:dataValidation type="list" allowBlank="1" showInputMessage="1" showErrorMessage="1" xr:uid="{7B2E99E5-979A-2B4C-BAAB-4A3C1EED97F6}">
          <x14:formula1>
            <xm:f>'Industry Averages (Global)'!$A$2:$A$95</xm:f>
          </x14:formula1>
          <xm:sqref>G52:G63</xm:sqref>
        </x14:dataValidation>
        <x14:dataValidation type="list" allowBlank="1" showInputMessage="1" showErrorMessage="1" xr:uid="{135FE66D-E481-A843-B9C1-8EB3A53D15F6}">
          <x14:formula1>
            <xm:f>'Country equity risk premiums'!$A$5:$A$196</xm:f>
          </x14:formula1>
          <xm:sqref>G5:G15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37"/>
  <sheetViews>
    <sheetView workbookViewId="0">
      <selection activeCell="G39" sqref="G39"/>
    </sheetView>
  </sheetViews>
  <sheetFormatPr baseColWidth="10" defaultRowHeight="13"/>
  <sheetData>
    <row r="1" spans="1:11" s="229" customFormat="1" ht="23">
      <c r="A1" s="229" t="s">
        <v>741</v>
      </c>
    </row>
    <row r="2" spans="1:11" s="227" customFormat="1" ht="18">
      <c r="A2" s="227" t="s">
        <v>742</v>
      </c>
    </row>
    <row r="3" spans="1:11" ht="14" thickBot="1"/>
    <row r="4" spans="1:11" ht="15" thickBot="1">
      <c r="A4" s="651" t="s">
        <v>619</v>
      </c>
      <c r="B4" s="652"/>
      <c r="C4" s="652"/>
      <c r="D4" s="652"/>
      <c r="E4" s="652"/>
      <c r="F4" s="652"/>
      <c r="G4" s="652"/>
      <c r="H4" s="652"/>
      <c r="I4" s="652"/>
      <c r="J4" s="652"/>
      <c r="K4" s="653"/>
    </row>
    <row r="5" spans="1:11" ht="16">
      <c r="A5" s="155" t="s">
        <v>611</v>
      </c>
      <c r="B5" s="156">
        <v>1</v>
      </c>
      <c r="C5" s="156">
        <v>2</v>
      </c>
      <c r="D5" s="156">
        <v>3</v>
      </c>
      <c r="E5" s="156">
        <v>4</v>
      </c>
      <c r="F5" s="156">
        <v>5</v>
      </c>
      <c r="G5" s="156">
        <v>6</v>
      </c>
      <c r="H5" s="156">
        <v>7</v>
      </c>
      <c r="I5" s="156">
        <v>8</v>
      </c>
      <c r="J5" s="156">
        <v>9</v>
      </c>
      <c r="K5" s="156">
        <v>10</v>
      </c>
    </row>
    <row r="6" spans="1:11" ht="16">
      <c r="A6" s="157" t="s">
        <v>612</v>
      </c>
      <c r="B6" s="158">
        <v>0</v>
      </c>
      <c r="C6" s="158">
        <v>2.9999999999999997E-4</v>
      </c>
      <c r="D6" s="158">
        <v>1.2999999999999999E-3</v>
      </c>
      <c r="E6" s="158">
        <v>2.3999999999999998E-3</v>
      </c>
      <c r="F6" s="158">
        <v>3.4999999999999996E-3</v>
      </c>
      <c r="G6" s="158">
        <v>4.5000000000000005E-3</v>
      </c>
      <c r="H6" s="158">
        <v>5.1000000000000004E-3</v>
      </c>
      <c r="I6" s="158">
        <v>5.8999999999999999E-3</v>
      </c>
      <c r="J6" s="158">
        <v>6.4000000000000003E-3</v>
      </c>
      <c r="K6" s="158">
        <v>6.9999999999999993E-3</v>
      </c>
    </row>
    <row r="7" spans="1:11" ht="16">
      <c r="A7" s="157" t="s">
        <v>613</v>
      </c>
      <c r="B7" s="158">
        <v>2.0000000000000001E-4</v>
      </c>
      <c r="C7" s="158">
        <v>5.9999999999999995E-4</v>
      </c>
      <c r="D7" s="158">
        <v>1.1999999999999999E-3</v>
      </c>
      <c r="E7" s="158">
        <v>2.0999999999999999E-3</v>
      </c>
      <c r="F7" s="158">
        <v>3.0999999999999999E-3</v>
      </c>
      <c r="G7" s="158">
        <v>4.1999999999999997E-3</v>
      </c>
      <c r="H7" s="158">
        <v>5.0000000000000001E-3</v>
      </c>
      <c r="I7" s="158">
        <v>5.7999999999999996E-3</v>
      </c>
      <c r="J7" s="158">
        <v>6.5000000000000006E-3</v>
      </c>
      <c r="K7" s="158">
        <v>7.1999999999999998E-3</v>
      </c>
    </row>
    <row r="8" spans="1:11" ht="16">
      <c r="A8" s="157" t="s">
        <v>614</v>
      </c>
      <c r="B8" s="158">
        <v>5.0000000000000001E-4</v>
      </c>
      <c r="C8" s="158">
        <v>1.4000000000000002E-3</v>
      </c>
      <c r="D8" s="158">
        <v>2.3E-3</v>
      </c>
      <c r="E8" s="158">
        <v>3.4999999999999996E-3</v>
      </c>
      <c r="F8" s="158">
        <v>4.6999999999999993E-3</v>
      </c>
      <c r="G8" s="158">
        <v>6.1999999999999998E-3</v>
      </c>
      <c r="H8" s="158">
        <v>7.9000000000000008E-3</v>
      </c>
      <c r="I8" s="158">
        <v>9.300000000000001E-3</v>
      </c>
      <c r="J8" s="158">
        <v>1.0800000000000001E-2</v>
      </c>
      <c r="K8" s="158">
        <v>1.24E-2</v>
      </c>
    </row>
    <row r="9" spans="1:11" ht="16">
      <c r="A9" s="157" t="s">
        <v>615</v>
      </c>
      <c r="B9" s="158">
        <v>1.6000000000000001E-3</v>
      </c>
      <c r="C9" s="158">
        <v>4.5000000000000005E-3</v>
      </c>
      <c r="D9" s="158">
        <v>7.8000000000000005E-3</v>
      </c>
      <c r="E9" s="158">
        <v>1.1699999999999999E-2</v>
      </c>
      <c r="F9" s="158">
        <v>1.5800000000000002E-2</v>
      </c>
      <c r="G9" s="158">
        <v>1.9799999999999998E-2</v>
      </c>
      <c r="H9" s="158">
        <v>2.3300000000000001E-2</v>
      </c>
      <c r="I9" s="158">
        <v>2.6699999999999998E-2</v>
      </c>
      <c r="J9" s="158">
        <v>0.03</v>
      </c>
      <c r="K9" s="158">
        <v>3.32E-2</v>
      </c>
    </row>
    <row r="10" spans="1:11" ht="16">
      <c r="A10" s="157" t="s">
        <v>616</v>
      </c>
      <c r="B10" s="158">
        <v>6.0999999999999995E-3</v>
      </c>
      <c r="C10" s="158">
        <v>1.9199999999999998E-2</v>
      </c>
      <c r="D10" s="158">
        <v>3.4799999999999998E-2</v>
      </c>
      <c r="E10" s="158">
        <v>5.0499999999999996E-2</v>
      </c>
      <c r="F10" s="158">
        <v>6.5199999999999994E-2</v>
      </c>
      <c r="G10" s="158">
        <v>7.85E-2</v>
      </c>
      <c r="H10" s="158">
        <v>9.01E-2</v>
      </c>
      <c r="I10" s="158">
        <v>0.10039999999999999</v>
      </c>
      <c r="J10" s="158">
        <v>0.10970000000000001</v>
      </c>
      <c r="K10" s="158">
        <v>0.11779999999999999</v>
      </c>
    </row>
    <row r="11" spans="1:11" ht="16">
      <c r="A11" s="157" t="s">
        <v>92</v>
      </c>
      <c r="B11" s="158">
        <v>3.3300000000000003E-2</v>
      </c>
      <c r="C11" s="158">
        <v>7.7100000000000002E-2</v>
      </c>
      <c r="D11" s="158">
        <v>0.11550000000000001</v>
      </c>
      <c r="E11" s="158">
        <v>0.14580000000000001</v>
      </c>
      <c r="F11" s="158">
        <v>0.16930000000000001</v>
      </c>
      <c r="G11" s="158">
        <v>0.1883</v>
      </c>
      <c r="H11" s="158">
        <v>0.2036</v>
      </c>
      <c r="I11" s="158">
        <v>0.21600000000000003</v>
      </c>
      <c r="J11" s="158">
        <v>0.22699999999999998</v>
      </c>
      <c r="K11" s="158">
        <v>0.23739999999999997</v>
      </c>
    </row>
    <row r="12" spans="1:11" ht="16">
      <c r="A12" s="157" t="s">
        <v>617</v>
      </c>
      <c r="B12" s="158">
        <v>0.27079999999999999</v>
      </c>
      <c r="C12" s="158">
        <v>0.3664</v>
      </c>
      <c r="D12" s="158">
        <v>0.41409999999999997</v>
      </c>
      <c r="E12" s="158">
        <v>0.441</v>
      </c>
      <c r="F12" s="158">
        <v>0.46189999999999998</v>
      </c>
      <c r="G12" s="158">
        <v>0.47090000000000004</v>
      </c>
      <c r="H12" s="158">
        <v>0.48259999999999997</v>
      </c>
      <c r="I12" s="158">
        <v>0.49049999999999999</v>
      </c>
      <c r="J12" s="158">
        <v>0.49759999999999999</v>
      </c>
      <c r="K12" s="158">
        <v>0.50380000000000003</v>
      </c>
    </row>
    <row r="14" spans="1:11" ht="16">
      <c r="A14" s="228" t="s">
        <v>743</v>
      </c>
    </row>
    <row r="16" spans="1:11" s="227" customFormat="1" ht="18">
      <c r="A16" s="227" t="s">
        <v>754</v>
      </c>
    </row>
    <row r="17" spans="1:24">
      <c r="O17" s="657" t="s">
        <v>760</v>
      </c>
      <c r="P17" s="657"/>
      <c r="Q17" s="657"/>
      <c r="R17" s="657"/>
      <c r="S17" s="657"/>
      <c r="T17" s="657"/>
      <c r="U17" s="657"/>
      <c r="V17" s="657"/>
      <c r="W17" s="657"/>
      <c r="X17" s="657"/>
    </row>
    <row r="18" spans="1:24" ht="16">
      <c r="A18" s="230"/>
      <c r="B18" s="231"/>
      <c r="C18" s="232" t="s">
        <v>744</v>
      </c>
      <c r="D18" s="232" t="s">
        <v>745</v>
      </c>
      <c r="E18" s="232" t="s">
        <v>746</v>
      </c>
      <c r="F18" s="232" t="s">
        <v>747</v>
      </c>
      <c r="G18" s="232" t="s">
        <v>748</v>
      </c>
      <c r="H18" s="232" t="s">
        <v>749</v>
      </c>
      <c r="I18" s="232" t="s">
        <v>708</v>
      </c>
      <c r="J18" s="232" t="s">
        <v>750</v>
      </c>
      <c r="K18" s="232" t="s">
        <v>751</v>
      </c>
      <c r="L18" s="232" t="s">
        <v>752</v>
      </c>
      <c r="O18" s="232" t="s">
        <v>744</v>
      </c>
      <c r="P18" s="232" t="s">
        <v>745</v>
      </c>
      <c r="Q18" s="232" t="s">
        <v>746</v>
      </c>
      <c r="R18" s="232" t="s">
        <v>747</v>
      </c>
      <c r="S18" s="232" t="s">
        <v>748</v>
      </c>
      <c r="T18" s="232" t="s">
        <v>749</v>
      </c>
      <c r="U18" s="232" t="s">
        <v>708</v>
      </c>
      <c r="V18" s="232" t="s">
        <v>750</v>
      </c>
      <c r="W18" s="232" t="s">
        <v>751</v>
      </c>
      <c r="X18" s="232" t="s">
        <v>752</v>
      </c>
    </row>
    <row r="19" spans="1:24" ht="16" customHeight="1">
      <c r="A19" s="654" t="s">
        <v>753</v>
      </c>
      <c r="B19" s="235">
        <v>0</v>
      </c>
      <c r="C19" s="233">
        <f>1-O28</f>
        <v>0.55099999999999993</v>
      </c>
      <c r="D19" s="233">
        <f t="shared" ref="D19:L19" si="0">1-P28</f>
        <v>0.67700000000000005</v>
      </c>
      <c r="E19" s="233">
        <f t="shared" si="0"/>
        <v>0.55099999999999993</v>
      </c>
      <c r="F19" s="233">
        <f t="shared" si="0"/>
        <v>0.753</v>
      </c>
      <c r="G19" s="233">
        <f t="shared" si="0"/>
        <v>0.61899999999999999</v>
      </c>
      <c r="H19" s="233">
        <f t="shared" si="0"/>
        <v>0.61</v>
      </c>
      <c r="I19" s="233">
        <f t="shared" si="0"/>
        <v>0.71599999999999997</v>
      </c>
      <c r="J19" s="233">
        <f t="shared" si="0"/>
        <v>0.745</v>
      </c>
      <c r="K19" s="233">
        <f t="shared" si="0"/>
        <v>0.57499999999999996</v>
      </c>
      <c r="L19" s="233">
        <f t="shared" si="0"/>
        <v>0.67200000000000004</v>
      </c>
      <c r="N19">
        <v>1</v>
      </c>
      <c r="O19" s="234">
        <v>0.82299999999999995</v>
      </c>
      <c r="P19" s="234">
        <v>0.81799999999999995</v>
      </c>
      <c r="Q19" s="234">
        <v>0.84</v>
      </c>
      <c r="R19" s="234">
        <v>0.74299999999999999</v>
      </c>
      <c r="S19" s="234">
        <v>0.82799999999999996</v>
      </c>
      <c r="T19" s="234">
        <v>0.83099999999999996</v>
      </c>
      <c r="U19" s="234">
        <v>0.76900000000000002</v>
      </c>
      <c r="V19" s="234">
        <v>0.752</v>
      </c>
      <c r="W19" s="234">
        <v>0.81400000000000006</v>
      </c>
      <c r="X19" s="234">
        <v>0.78299999999999992</v>
      </c>
    </row>
    <row r="20" spans="1:24" ht="16">
      <c r="A20" s="655"/>
      <c r="B20" s="235">
        <v>1</v>
      </c>
      <c r="C20" s="233">
        <f>O19-O$28</f>
        <v>0.37399999999999994</v>
      </c>
      <c r="D20" s="233">
        <f t="shared" ref="D20:D29" si="1">P19-P$28</f>
        <v>0.495</v>
      </c>
      <c r="E20" s="233">
        <f t="shared" ref="E20:E29" si="2">Q19-Q$28</f>
        <v>0.39099999999999996</v>
      </c>
      <c r="F20" s="233">
        <f t="shared" ref="F20:F29" si="3">R19-R$28</f>
        <v>0.496</v>
      </c>
      <c r="G20" s="233">
        <f t="shared" ref="G20:G29" si="4">S19-S$28</f>
        <v>0.44699999999999995</v>
      </c>
      <c r="H20" s="233">
        <f t="shared" ref="H20:H29" si="5">T19-T$28</f>
        <v>0.44099999999999995</v>
      </c>
      <c r="I20" s="233">
        <f t="shared" ref="I20:I29" si="6">U19-U$28</f>
        <v>0.48500000000000004</v>
      </c>
      <c r="J20" s="233">
        <f t="shared" ref="J20:J29" si="7">V19-V$28</f>
        <v>0.497</v>
      </c>
      <c r="K20" s="233">
        <f t="shared" ref="K20:K29" si="8">W19-W$28</f>
        <v>0.38900000000000007</v>
      </c>
      <c r="L20" s="233">
        <f t="shared" ref="L20:L29" si="9">X19-X$28</f>
        <v>0.45499999999999996</v>
      </c>
      <c r="N20">
        <v>2</v>
      </c>
      <c r="O20" s="234">
        <v>0.748</v>
      </c>
      <c r="P20" s="234">
        <v>0.71200000000000008</v>
      </c>
      <c r="Q20" s="234">
        <v>0.73499999999999999</v>
      </c>
      <c r="R20" s="234">
        <v>0.59799999999999998</v>
      </c>
      <c r="S20" s="234">
        <v>0.72400000000000009</v>
      </c>
      <c r="T20" s="234">
        <v>0.72400000000000009</v>
      </c>
      <c r="U20" s="234">
        <v>0.63600000000000001</v>
      </c>
      <c r="V20" s="234">
        <v>0.627</v>
      </c>
      <c r="W20" s="234">
        <v>0.72199999999999998</v>
      </c>
      <c r="X20" s="234">
        <v>0.66200000000000003</v>
      </c>
    </row>
    <row r="21" spans="1:24" ht="16">
      <c r="A21" s="655"/>
      <c r="B21" s="235">
        <v>2</v>
      </c>
      <c r="C21" s="233">
        <f t="shared" ref="C21:C29" si="10">O20-O$28</f>
        <v>0.29899999999999999</v>
      </c>
      <c r="D21" s="233">
        <f t="shared" si="1"/>
        <v>0.38900000000000012</v>
      </c>
      <c r="E21" s="233">
        <f t="shared" si="2"/>
        <v>0.28599999999999998</v>
      </c>
      <c r="F21" s="233">
        <f t="shared" si="3"/>
        <v>0.35099999999999998</v>
      </c>
      <c r="G21" s="233">
        <f t="shared" si="4"/>
        <v>0.34300000000000008</v>
      </c>
      <c r="H21" s="233">
        <f t="shared" si="5"/>
        <v>0.33400000000000007</v>
      </c>
      <c r="I21" s="233">
        <f t="shared" si="6"/>
        <v>0.35200000000000004</v>
      </c>
      <c r="J21" s="233">
        <f t="shared" si="7"/>
        <v>0.372</v>
      </c>
      <c r="K21" s="233">
        <f t="shared" si="8"/>
        <v>0.29699999999999999</v>
      </c>
      <c r="L21" s="233">
        <f t="shared" si="9"/>
        <v>0.33400000000000007</v>
      </c>
      <c r="N21">
        <v>3</v>
      </c>
      <c r="O21" s="234">
        <v>0.66099999999999992</v>
      </c>
      <c r="P21" s="234">
        <v>0.629</v>
      </c>
      <c r="Q21" s="234">
        <v>0.67</v>
      </c>
      <c r="R21" s="234">
        <v>0.45600000000000002</v>
      </c>
      <c r="S21" s="234">
        <v>0.622</v>
      </c>
      <c r="T21" s="234">
        <v>0.63100000000000001</v>
      </c>
      <c r="U21" s="234">
        <v>0.52300000000000002</v>
      </c>
      <c r="V21" s="234">
        <v>0.53299999999999992</v>
      </c>
      <c r="W21" s="234">
        <v>0.67400000000000004</v>
      </c>
      <c r="X21" s="234">
        <v>0.56600000000000006</v>
      </c>
    </row>
    <row r="22" spans="1:24" ht="16">
      <c r="A22" s="655"/>
      <c r="B22" s="235">
        <v>3</v>
      </c>
      <c r="C22" s="233">
        <f t="shared" si="10"/>
        <v>0.21199999999999991</v>
      </c>
      <c r="D22" s="233">
        <f t="shared" si="1"/>
        <v>0.30600000000000005</v>
      </c>
      <c r="E22" s="233">
        <f t="shared" si="2"/>
        <v>0.22100000000000003</v>
      </c>
      <c r="F22" s="233">
        <f t="shared" si="3"/>
        <v>0.20900000000000002</v>
      </c>
      <c r="G22" s="233">
        <f t="shared" si="4"/>
        <v>0.24099999999999999</v>
      </c>
      <c r="H22" s="233">
        <f t="shared" si="5"/>
        <v>0.24099999999999999</v>
      </c>
      <c r="I22" s="233">
        <f t="shared" si="6"/>
        <v>0.23900000000000005</v>
      </c>
      <c r="J22" s="233">
        <f t="shared" si="7"/>
        <v>0.27799999999999991</v>
      </c>
      <c r="K22" s="233">
        <f t="shared" si="8"/>
        <v>0.24900000000000005</v>
      </c>
      <c r="L22" s="233">
        <f t="shared" si="9"/>
        <v>0.2380000000000001</v>
      </c>
      <c r="N22">
        <v>4</v>
      </c>
      <c r="O22" s="234">
        <v>0.61199999999999999</v>
      </c>
      <c r="P22" s="234">
        <v>0.53799999999999992</v>
      </c>
      <c r="Q22" s="234">
        <v>0.629</v>
      </c>
      <c r="R22" s="234">
        <v>0.371</v>
      </c>
      <c r="S22" s="234">
        <v>0.54100000000000004</v>
      </c>
      <c r="T22" s="234">
        <v>0.56499999999999995</v>
      </c>
      <c r="U22" s="234">
        <v>0.45</v>
      </c>
      <c r="V22" s="234">
        <v>0.46399999999999997</v>
      </c>
      <c r="W22" s="234">
        <v>0.61299999999999999</v>
      </c>
      <c r="X22" s="234">
        <v>0.498</v>
      </c>
    </row>
    <row r="23" spans="1:24" ht="16">
      <c r="A23" s="655"/>
      <c r="B23" s="235">
        <v>4</v>
      </c>
      <c r="C23" s="233">
        <f t="shared" si="10"/>
        <v>0.16299999999999998</v>
      </c>
      <c r="D23" s="233">
        <f t="shared" si="1"/>
        <v>0.21499999999999997</v>
      </c>
      <c r="E23" s="233">
        <f t="shared" si="2"/>
        <v>0.18</v>
      </c>
      <c r="F23" s="233">
        <f t="shared" si="3"/>
        <v>0.124</v>
      </c>
      <c r="G23" s="233">
        <f t="shared" si="4"/>
        <v>0.16000000000000003</v>
      </c>
      <c r="H23" s="233">
        <f t="shared" si="5"/>
        <v>0.17499999999999993</v>
      </c>
      <c r="I23" s="233">
        <f t="shared" si="6"/>
        <v>0.16600000000000004</v>
      </c>
      <c r="J23" s="233">
        <f t="shared" si="7"/>
        <v>0.20899999999999996</v>
      </c>
      <c r="K23" s="233">
        <f t="shared" si="8"/>
        <v>0.188</v>
      </c>
      <c r="L23" s="233">
        <f t="shared" si="9"/>
        <v>0.17000000000000004</v>
      </c>
      <c r="N23">
        <v>5</v>
      </c>
      <c r="O23" s="234">
        <v>0.57399999999999995</v>
      </c>
      <c r="P23" s="234">
        <v>0.51200000000000001</v>
      </c>
      <c r="Q23" s="234">
        <v>0.56499999999999995</v>
      </c>
      <c r="R23" s="234">
        <v>0.33200000000000002</v>
      </c>
      <c r="S23" s="234">
        <v>0.49399999999999999</v>
      </c>
      <c r="T23" s="234">
        <v>0.52100000000000002</v>
      </c>
      <c r="U23" s="234">
        <v>0.41100000000000003</v>
      </c>
      <c r="V23" s="234">
        <v>0.41899999999999998</v>
      </c>
      <c r="W23" s="234">
        <v>0.55899999999999994</v>
      </c>
      <c r="X23" s="234">
        <v>0.45399999999999996</v>
      </c>
    </row>
    <row r="24" spans="1:24" ht="16">
      <c r="A24" s="655"/>
      <c r="B24" s="235">
        <v>5</v>
      </c>
      <c r="C24" s="233">
        <f t="shared" si="10"/>
        <v>0.12499999999999994</v>
      </c>
      <c r="D24" s="233">
        <f t="shared" si="1"/>
        <v>0.18900000000000006</v>
      </c>
      <c r="E24" s="233">
        <f t="shared" si="2"/>
        <v>0.11599999999999994</v>
      </c>
      <c r="F24" s="233">
        <f t="shared" si="3"/>
        <v>8.500000000000002E-2</v>
      </c>
      <c r="G24" s="233">
        <f t="shared" si="4"/>
        <v>0.11299999999999999</v>
      </c>
      <c r="H24" s="233">
        <f t="shared" si="5"/>
        <v>0.13100000000000001</v>
      </c>
      <c r="I24" s="233">
        <f t="shared" si="6"/>
        <v>0.12700000000000006</v>
      </c>
      <c r="J24" s="233">
        <f t="shared" si="7"/>
        <v>0.16399999999999998</v>
      </c>
      <c r="K24" s="233">
        <f t="shared" si="8"/>
        <v>0.13399999999999995</v>
      </c>
      <c r="L24" s="233">
        <f t="shared" si="9"/>
        <v>0.126</v>
      </c>
      <c r="N24">
        <v>6</v>
      </c>
      <c r="O24" s="234">
        <v>0.54100000000000004</v>
      </c>
      <c r="P24" s="234">
        <v>0.47200000000000003</v>
      </c>
      <c r="Q24" s="234">
        <v>0.55600000000000005</v>
      </c>
      <c r="R24" s="234">
        <v>0.30599999999999999</v>
      </c>
      <c r="S24" s="234">
        <v>0.46299999999999997</v>
      </c>
      <c r="T24" s="234">
        <v>0.48499999999999999</v>
      </c>
      <c r="U24" s="234">
        <v>0.377</v>
      </c>
      <c r="V24" s="234">
        <v>0.37200000000000005</v>
      </c>
      <c r="W24" s="234">
        <v>0.54799999999999993</v>
      </c>
      <c r="X24" s="234">
        <v>0.42299999999999999</v>
      </c>
    </row>
    <row r="25" spans="1:24" ht="16">
      <c r="A25" s="655"/>
      <c r="B25" s="235">
        <v>6</v>
      </c>
      <c r="C25" s="233">
        <f t="shared" si="10"/>
        <v>9.2000000000000026E-2</v>
      </c>
      <c r="D25" s="233">
        <f t="shared" si="1"/>
        <v>0.14900000000000008</v>
      </c>
      <c r="E25" s="233">
        <f t="shared" si="2"/>
        <v>0.10700000000000004</v>
      </c>
      <c r="F25" s="233">
        <f t="shared" si="3"/>
        <v>5.8999999999999997E-2</v>
      </c>
      <c r="G25" s="233">
        <f t="shared" si="4"/>
        <v>8.1999999999999962E-2</v>
      </c>
      <c r="H25" s="233">
        <f t="shared" si="5"/>
        <v>9.4999999999999973E-2</v>
      </c>
      <c r="I25" s="233">
        <f t="shared" si="6"/>
        <v>9.3000000000000027E-2</v>
      </c>
      <c r="J25" s="233">
        <f t="shared" si="7"/>
        <v>0.11700000000000005</v>
      </c>
      <c r="K25" s="233">
        <f t="shared" si="8"/>
        <v>0.12299999999999994</v>
      </c>
      <c r="L25" s="233">
        <f t="shared" si="9"/>
        <v>9.5000000000000029E-2</v>
      </c>
      <c r="N25">
        <v>7</v>
      </c>
      <c r="O25" s="234">
        <v>0.51600000000000001</v>
      </c>
      <c r="P25" s="234">
        <v>0.42899999999999999</v>
      </c>
      <c r="Q25" s="234">
        <v>0.51600000000000001</v>
      </c>
      <c r="R25" s="234">
        <v>0.28399999999999997</v>
      </c>
      <c r="S25" s="234">
        <v>0.43799999999999994</v>
      </c>
      <c r="T25" s="234">
        <v>0.45700000000000002</v>
      </c>
      <c r="U25" s="234">
        <v>0.34899999999999998</v>
      </c>
      <c r="V25" s="234">
        <v>0.34</v>
      </c>
      <c r="W25" s="234">
        <v>0.52900000000000003</v>
      </c>
      <c r="X25" s="234">
        <v>0.39600000000000002</v>
      </c>
    </row>
    <row r="26" spans="1:24" ht="16">
      <c r="A26" s="655"/>
      <c r="B26" s="235">
        <v>7</v>
      </c>
      <c r="C26" s="233">
        <f t="shared" si="10"/>
        <v>6.7000000000000004E-2</v>
      </c>
      <c r="D26" s="233">
        <f t="shared" si="1"/>
        <v>0.10600000000000004</v>
      </c>
      <c r="E26" s="233">
        <f t="shared" si="2"/>
        <v>6.7000000000000004E-2</v>
      </c>
      <c r="F26" s="233">
        <f t="shared" si="3"/>
        <v>3.6999999999999977E-2</v>
      </c>
      <c r="G26" s="233">
        <f t="shared" si="4"/>
        <v>5.699999999999994E-2</v>
      </c>
      <c r="H26" s="233">
        <f t="shared" si="5"/>
        <v>6.7000000000000004E-2</v>
      </c>
      <c r="I26" s="233">
        <f t="shared" si="6"/>
        <v>6.5000000000000002E-2</v>
      </c>
      <c r="J26" s="233">
        <f t="shared" si="7"/>
        <v>8.500000000000002E-2</v>
      </c>
      <c r="K26" s="233">
        <f t="shared" si="8"/>
        <v>0.10400000000000004</v>
      </c>
      <c r="L26" s="233">
        <f t="shared" si="9"/>
        <v>6.800000000000006E-2</v>
      </c>
      <c r="N26">
        <v>8</v>
      </c>
      <c r="O26" s="234">
        <v>0.495</v>
      </c>
      <c r="P26" s="234">
        <v>0.40500000000000003</v>
      </c>
      <c r="Q26" s="234">
        <v>0.503</v>
      </c>
      <c r="R26" s="234">
        <v>0.27100000000000002</v>
      </c>
      <c r="S26" s="234">
        <v>0.41499999999999998</v>
      </c>
      <c r="T26" s="234">
        <v>0.433</v>
      </c>
      <c r="U26" s="234">
        <v>0.32400000000000001</v>
      </c>
      <c r="V26" s="234">
        <v>0.314</v>
      </c>
      <c r="W26" s="234">
        <v>0.48399999999999999</v>
      </c>
      <c r="X26" s="234">
        <v>0.371</v>
      </c>
    </row>
    <row r="27" spans="1:24" ht="16">
      <c r="A27" s="655"/>
      <c r="B27" s="235">
        <v>8</v>
      </c>
      <c r="C27" s="233">
        <f t="shared" si="10"/>
        <v>4.5999999999999985E-2</v>
      </c>
      <c r="D27" s="233">
        <f t="shared" si="1"/>
        <v>8.2000000000000073E-2</v>
      </c>
      <c r="E27" s="233">
        <f t="shared" si="2"/>
        <v>5.3999999999999992E-2</v>
      </c>
      <c r="F27" s="233">
        <f t="shared" si="3"/>
        <v>2.4000000000000021E-2</v>
      </c>
      <c r="G27" s="233">
        <f t="shared" si="4"/>
        <v>3.3999999999999975E-2</v>
      </c>
      <c r="H27" s="233">
        <f t="shared" si="5"/>
        <v>4.2999999999999983E-2</v>
      </c>
      <c r="I27" s="233">
        <f t="shared" si="6"/>
        <v>4.0000000000000036E-2</v>
      </c>
      <c r="J27" s="233">
        <f t="shared" si="7"/>
        <v>5.8999999999999997E-2</v>
      </c>
      <c r="K27" s="233">
        <f t="shared" si="8"/>
        <v>5.8999999999999997E-2</v>
      </c>
      <c r="L27" s="233">
        <f t="shared" si="9"/>
        <v>4.3000000000000038E-2</v>
      </c>
      <c r="N27">
        <v>9</v>
      </c>
      <c r="O27" s="234">
        <v>0.46500000000000002</v>
      </c>
      <c r="P27" s="234">
        <v>0.371</v>
      </c>
      <c r="Q27" s="234">
        <v>0.47600000000000003</v>
      </c>
      <c r="R27" s="234">
        <v>0.25800000000000001</v>
      </c>
      <c r="S27" s="234">
        <v>0.4</v>
      </c>
      <c r="T27" s="234">
        <v>0.41</v>
      </c>
      <c r="U27" s="234">
        <v>0.30499999999999999</v>
      </c>
      <c r="V27" s="234">
        <v>0.27399999999999997</v>
      </c>
      <c r="W27" s="234">
        <v>0.45500000000000002</v>
      </c>
      <c r="X27" s="234">
        <v>0.34799999999999998</v>
      </c>
    </row>
    <row r="28" spans="1:24" ht="16">
      <c r="A28" s="656"/>
      <c r="B28" s="235">
        <v>9</v>
      </c>
      <c r="C28" s="233">
        <f t="shared" si="10"/>
        <v>1.6000000000000014E-2</v>
      </c>
      <c r="D28" s="233">
        <f t="shared" si="1"/>
        <v>4.8000000000000043E-2</v>
      </c>
      <c r="E28" s="233">
        <f t="shared" si="2"/>
        <v>2.7000000000000024E-2</v>
      </c>
      <c r="F28" s="233">
        <f t="shared" si="3"/>
        <v>1.100000000000001E-2</v>
      </c>
      <c r="G28" s="233">
        <f t="shared" si="4"/>
        <v>1.9000000000000017E-2</v>
      </c>
      <c r="H28" s="233">
        <f t="shared" si="5"/>
        <v>1.9999999999999962E-2</v>
      </c>
      <c r="I28" s="233">
        <f t="shared" si="6"/>
        <v>2.1000000000000019E-2</v>
      </c>
      <c r="J28" s="233">
        <f t="shared" si="7"/>
        <v>1.8999999999999961E-2</v>
      </c>
      <c r="K28" s="233">
        <f t="shared" si="8"/>
        <v>3.0000000000000027E-2</v>
      </c>
      <c r="L28" s="233">
        <f t="shared" si="9"/>
        <v>2.0000000000000018E-2</v>
      </c>
      <c r="N28">
        <v>10</v>
      </c>
      <c r="O28" s="234">
        <v>0.44900000000000001</v>
      </c>
      <c r="P28" s="234">
        <v>0.32299999999999995</v>
      </c>
      <c r="Q28" s="234">
        <v>0.44900000000000001</v>
      </c>
      <c r="R28" s="234">
        <v>0.247</v>
      </c>
      <c r="S28" s="234">
        <v>0.38100000000000001</v>
      </c>
      <c r="T28" s="234">
        <v>0.39</v>
      </c>
      <c r="U28" s="234">
        <v>0.28399999999999997</v>
      </c>
      <c r="V28" s="234">
        <v>0.255</v>
      </c>
      <c r="W28" s="234">
        <v>0.42499999999999999</v>
      </c>
      <c r="X28" s="234">
        <v>0.32799999999999996</v>
      </c>
    </row>
    <row r="29" spans="1:24" ht="16">
      <c r="B29" s="235">
        <v>10</v>
      </c>
      <c r="C29" s="233">
        <f t="shared" si="10"/>
        <v>0</v>
      </c>
      <c r="D29" s="233">
        <f t="shared" si="1"/>
        <v>0</v>
      </c>
      <c r="E29" s="233">
        <f t="shared" si="2"/>
        <v>0</v>
      </c>
      <c r="F29" s="233">
        <f t="shared" si="3"/>
        <v>0</v>
      </c>
      <c r="G29" s="233">
        <f t="shared" si="4"/>
        <v>0</v>
      </c>
      <c r="H29" s="233">
        <f t="shared" si="5"/>
        <v>0</v>
      </c>
      <c r="I29" s="233">
        <f t="shared" si="6"/>
        <v>0</v>
      </c>
      <c r="J29" s="233">
        <f t="shared" si="7"/>
        <v>0</v>
      </c>
      <c r="K29" s="233">
        <f t="shared" si="8"/>
        <v>0</v>
      </c>
      <c r="L29" s="233">
        <f t="shared" si="9"/>
        <v>0</v>
      </c>
    </row>
    <row r="30" spans="1:24" ht="16">
      <c r="A30" t="s">
        <v>759</v>
      </c>
      <c r="B30" s="237"/>
      <c r="C30" s="238"/>
      <c r="D30" s="238"/>
      <c r="E30" s="238"/>
      <c r="F30" s="238"/>
      <c r="G30" s="238"/>
      <c r="H30" s="238"/>
      <c r="I30" s="238"/>
      <c r="J30" s="238"/>
      <c r="K30" s="238"/>
      <c r="L30" s="238"/>
    </row>
    <row r="31" spans="1:24" s="188" customFormat="1" ht="16">
      <c r="A31" s="188" t="s">
        <v>758</v>
      </c>
      <c r="B31"/>
      <c r="C31"/>
      <c r="D31"/>
      <c r="E31"/>
      <c r="F31"/>
      <c r="G31"/>
      <c r="H31"/>
      <c r="I31"/>
      <c r="J31"/>
      <c r="K31"/>
      <c r="L31"/>
    </row>
    <row r="32" spans="1:24" ht="16">
      <c r="B32" s="188"/>
      <c r="C32" s="188"/>
      <c r="D32" s="188"/>
      <c r="E32" s="188"/>
      <c r="F32" s="188"/>
      <c r="G32" s="188"/>
      <c r="H32" s="188"/>
      <c r="I32" s="188"/>
      <c r="J32" s="188"/>
      <c r="K32" s="188"/>
      <c r="L32" s="188"/>
    </row>
    <row r="33" spans="1:1" ht="16">
      <c r="A33" s="236" t="s">
        <v>755</v>
      </c>
    </row>
    <row r="34" spans="1:1" ht="16">
      <c r="A34" s="188" t="s">
        <v>756</v>
      </c>
    </row>
    <row r="35" spans="1:1" ht="16">
      <c r="A35" s="188" t="s">
        <v>761</v>
      </c>
    </row>
    <row r="36" spans="1:1" ht="16">
      <c r="A36" s="188" t="s">
        <v>762</v>
      </c>
    </row>
    <row r="37" spans="1:1" ht="16">
      <c r="A37" s="188" t="s">
        <v>757</v>
      </c>
    </row>
  </sheetData>
  <mergeCells count="3">
    <mergeCell ref="A4:K4"/>
    <mergeCell ref="A19:A28"/>
    <mergeCell ref="O17:X1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28"/>
  <sheetViews>
    <sheetView topLeftCell="A178" zoomScale="120" zoomScaleNormal="120" workbookViewId="0">
      <selection activeCell="B184" sqref="B184"/>
    </sheetView>
  </sheetViews>
  <sheetFormatPr baseColWidth="10" defaultRowHeight="13"/>
  <cols>
    <col min="1" max="1" width="27.5" bestFit="1" customWidth="1"/>
    <col min="2" max="2" width="15" bestFit="1" customWidth="1"/>
    <col min="3" max="3" width="18.5" bestFit="1" customWidth="1"/>
    <col min="4" max="4" width="21" style="92" bestFit="1" customWidth="1"/>
    <col min="5" max="5" width="20" bestFit="1" customWidth="1"/>
    <col min="6" max="6" width="17.6640625" bestFit="1" customWidth="1"/>
  </cols>
  <sheetData>
    <row r="1" spans="1:6">
      <c r="A1" t="s">
        <v>583</v>
      </c>
      <c r="B1" s="145">
        <v>4.2299999999999997E-2</v>
      </c>
      <c r="C1" t="s">
        <v>983</v>
      </c>
    </row>
    <row r="2" spans="1:6" s="10" customFormat="1" ht="14">
      <c r="A2" s="167" t="s">
        <v>627</v>
      </c>
      <c r="B2" s="167"/>
      <c r="C2" s="167"/>
      <c r="D2" s="471"/>
      <c r="E2" s="167"/>
      <c r="F2" s="167"/>
    </row>
    <row r="4" spans="1:6" ht="16">
      <c r="A4" s="474" t="s">
        <v>332</v>
      </c>
      <c r="B4" s="478" t="s">
        <v>536</v>
      </c>
      <c r="C4" s="472" t="s">
        <v>333</v>
      </c>
      <c r="D4" s="376" t="s">
        <v>537</v>
      </c>
      <c r="E4" s="488" t="s">
        <v>334</v>
      </c>
      <c r="F4" s="488" t="s">
        <v>491</v>
      </c>
    </row>
    <row r="5" spans="1:6" ht="16">
      <c r="A5" s="475" t="s">
        <v>455</v>
      </c>
      <c r="B5" s="479" t="s">
        <v>538</v>
      </c>
      <c r="C5" s="117">
        <v>4.1999999999999997E-3</v>
      </c>
      <c r="D5" s="117">
        <f>$B$1+E5</f>
        <v>4.87E-2</v>
      </c>
      <c r="E5" s="489">
        <v>6.4000000000000003E-3</v>
      </c>
      <c r="F5" s="490">
        <v>0.09</v>
      </c>
    </row>
    <row r="6" spans="1:6" ht="16">
      <c r="A6" s="475" t="s">
        <v>228</v>
      </c>
      <c r="B6" s="479" t="s">
        <v>548</v>
      </c>
      <c r="C6" s="117">
        <v>3.0599999999999999E-2</v>
      </c>
      <c r="D6" s="117">
        <f t="shared" ref="D6:D69" si="0">$B$1+E6</f>
        <v>8.8900000000000007E-2</v>
      </c>
      <c r="E6" s="489">
        <v>4.6600000000000003E-2</v>
      </c>
      <c r="F6" s="490">
        <v>0.15</v>
      </c>
    </row>
    <row r="7" spans="1:6" ht="16">
      <c r="A7" s="486" t="s">
        <v>540</v>
      </c>
      <c r="B7" s="479" t="s">
        <v>635</v>
      </c>
      <c r="C7" s="117">
        <v>3.8300000000000001E-2</v>
      </c>
      <c r="D7" s="117">
        <f t="shared" si="0"/>
        <v>0.10059999999999999</v>
      </c>
      <c r="E7" s="489">
        <v>5.8299999999999998E-2</v>
      </c>
      <c r="F7" s="490">
        <v>0.1007</v>
      </c>
    </row>
    <row r="8" spans="1:6" ht="16">
      <c r="A8" s="475" t="s">
        <v>473</v>
      </c>
      <c r="B8" s="479" t="s">
        <v>543</v>
      </c>
      <c r="C8" s="117">
        <v>1.3599999999999999E-2</v>
      </c>
      <c r="D8" s="117">
        <f t="shared" si="0"/>
        <v>6.3E-2</v>
      </c>
      <c r="E8" s="489">
        <v>2.07E-2</v>
      </c>
      <c r="F8" s="490">
        <v>0.1</v>
      </c>
    </row>
    <row r="9" spans="1:6" ht="16">
      <c r="A9" s="475" t="s">
        <v>229</v>
      </c>
      <c r="B9" s="479" t="s">
        <v>551</v>
      </c>
      <c r="C9" s="117">
        <v>5.5199999999999999E-2</v>
      </c>
      <c r="D9" s="117">
        <f t="shared" si="0"/>
        <v>0.12639999999999998</v>
      </c>
      <c r="E9" s="489">
        <v>8.4099999999999994E-2</v>
      </c>
      <c r="F9" s="490">
        <v>0.25</v>
      </c>
    </row>
    <row r="10" spans="1:6" ht="16">
      <c r="A10" s="475" t="s">
        <v>862</v>
      </c>
      <c r="B10" s="479" t="s">
        <v>635</v>
      </c>
      <c r="C10" s="117">
        <v>4.9151830261848689E-2</v>
      </c>
      <c r="D10" s="117">
        <f t="shared" si="0"/>
        <v>0.117176823349771</v>
      </c>
      <c r="E10" s="489">
        <v>7.4876823349770999E-2</v>
      </c>
      <c r="F10" s="490">
        <v>0.26526547543374851</v>
      </c>
    </row>
    <row r="11" spans="1:6" ht="16">
      <c r="A11" s="475" t="s">
        <v>863</v>
      </c>
      <c r="B11" s="479" t="s">
        <v>635</v>
      </c>
      <c r="C11" s="117">
        <v>2.7785941866780777E-2</v>
      </c>
      <c r="D11" s="117">
        <f t="shared" si="0"/>
        <v>8.4628496206189827E-2</v>
      </c>
      <c r="E11" s="489">
        <v>4.2328496206189829E-2</v>
      </c>
      <c r="F11" s="490">
        <v>0.31546691365656965</v>
      </c>
    </row>
    <row r="12" spans="1:6" ht="16">
      <c r="A12" s="475" t="s">
        <v>230</v>
      </c>
      <c r="B12" s="479" t="s">
        <v>549</v>
      </c>
      <c r="C12" s="117">
        <v>6.3700000000000007E-2</v>
      </c>
      <c r="D12" s="117">
        <f t="shared" si="0"/>
        <v>0.1394</v>
      </c>
      <c r="E12" s="489">
        <v>9.7100000000000006E-2</v>
      </c>
      <c r="F12" s="490">
        <v>0.35</v>
      </c>
    </row>
    <row r="13" spans="1:6" ht="16">
      <c r="A13" s="475" t="s">
        <v>231</v>
      </c>
      <c r="B13" s="479" t="s">
        <v>548</v>
      </c>
      <c r="C13" s="117">
        <v>3.0599999999999999E-2</v>
      </c>
      <c r="D13" s="117">
        <f t="shared" si="0"/>
        <v>8.8900000000000007E-2</v>
      </c>
      <c r="E13" s="489">
        <v>4.6600000000000003E-2</v>
      </c>
      <c r="F13" s="490">
        <v>0.18</v>
      </c>
    </row>
    <row r="14" spans="1:6" ht="16">
      <c r="A14" s="475" t="s">
        <v>232</v>
      </c>
      <c r="B14" s="479" t="s">
        <v>547</v>
      </c>
      <c r="C14" s="117">
        <v>1.8700000000000001E-2</v>
      </c>
      <c r="D14" s="117">
        <f t="shared" si="0"/>
        <v>7.0800000000000002E-2</v>
      </c>
      <c r="E14" s="489">
        <v>2.8500000000000001E-2</v>
      </c>
      <c r="F14" s="490">
        <v>0.22</v>
      </c>
    </row>
    <row r="15" spans="1:6" ht="16">
      <c r="A15" s="475" t="s">
        <v>233</v>
      </c>
      <c r="B15" s="479" t="s">
        <v>544</v>
      </c>
      <c r="C15" s="117">
        <v>0</v>
      </c>
      <c r="D15" s="117">
        <f t="shared" si="0"/>
        <v>4.2299999999999997E-2</v>
      </c>
      <c r="E15" s="489">
        <v>0</v>
      </c>
      <c r="F15" s="490">
        <v>0.3</v>
      </c>
    </row>
    <row r="16" spans="1:6" ht="16">
      <c r="A16" s="475" t="s">
        <v>234</v>
      </c>
      <c r="B16" s="479" t="s">
        <v>545</v>
      </c>
      <c r="C16" s="117">
        <v>2.3E-3</v>
      </c>
      <c r="D16" s="117">
        <f t="shared" si="0"/>
        <v>4.5899999999999996E-2</v>
      </c>
      <c r="E16" s="489">
        <v>3.5999999999999999E-3</v>
      </c>
      <c r="F16" s="490">
        <v>0.23</v>
      </c>
    </row>
    <row r="17" spans="1:6" ht="16">
      <c r="A17" s="475" t="s">
        <v>340</v>
      </c>
      <c r="B17" s="479" t="s">
        <v>547</v>
      </c>
      <c r="C17" s="117">
        <v>1.8700000000000001E-2</v>
      </c>
      <c r="D17" s="117">
        <f t="shared" si="0"/>
        <v>7.0800000000000002E-2</v>
      </c>
      <c r="E17" s="489">
        <v>2.8500000000000001E-2</v>
      </c>
      <c r="F17" s="490">
        <v>0.2</v>
      </c>
    </row>
    <row r="18" spans="1:6" ht="16">
      <c r="A18" s="475" t="s">
        <v>235</v>
      </c>
      <c r="B18" s="479" t="s">
        <v>539</v>
      </c>
      <c r="C18" s="117">
        <v>3.8300000000000001E-2</v>
      </c>
      <c r="D18" s="117">
        <f t="shared" si="0"/>
        <v>0.10059999999999999</v>
      </c>
      <c r="E18" s="489">
        <v>5.8299999999999998E-2</v>
      </c>
      <c r="F18" s="490">
        <v>0</v>
      </c>
    </row>
    <row r="19" spans="1:6" ht="16">
      <c r="A19" s="475" t="s">
        <v>236</v>
      </c>
      <c r="B19" s="479" t="s">
        <v>542</v>
      </c>
      <c r="C19" s="117">
        <v>4.6699999999999998E-2</v>
      </c>
      <c r="D19" s="117">
        <f t="shared" si="0"/>
        <v>0.11349999999999999</v>
      </c>
      <c r="E19" s="489">
        <v>7.1199999999999999E-2</v>
      </c>
      <c r="F19" s="490">
        <v>0</v>
      </c>
    </row>
    <row r="20" spans="1:6" ht="16">
      <c r="A20" s="475" t="s">
        <v>237</v>
      </c>
      <c r="B20" s="479" t="s">
        <v>542</v>
      </c>
      <c r="C20" s="117">
        <v>4.6699999999999998E-2</v>
      </c>
      <c r="D20" s="117">
        <f t="shared" si="0"/>
        <v>0.11349999999999999</v>
      </c>
      <c r="E20" s="489">
        <v>7.1199999999999999E-2</v>
      </c>
      <c r="F20" s="490">
        <v>0.27500000000000002</v>
      </c>
    </row>
    <row r="21" spans="1:6" ht="16">
      <c r="A21" s="475" t="s">
        <v>238</v>
      </c>
      <c r="B21" s="479" t="s">
        <v>542</v>
      </c>
      <c r="C21" s="117">
        <v>4.6699999999999998E-2</v>
      </c>
      <c r="D21" s="117">
        <f t="shared" si="0"/>
        <v>0.11349999999999999</v>
      </c>
      <c r="E21" s="489">
        <v>7.1199999999999999E-2</v>
      </c>
      <c r="F21" s="490">
        <v>0.09</v>
      </c>
    </row>
    <row r="22" spans="1:6" ht="16">
      <c r="A22" s="475" t="s">
        <v>239</v>
      </c>
      <c r="B22" s="479" t="s">
        <v>585</v>
      </c>
      <c r="C22" s="117">
        <v>0.17499999999999999</v>
      </c>
      <c r="D22" s="117">
        <f t="shared" si="0"/>
        <v>0.30890000000000001</v>
      </c>
      <c r="E22" s="489">
        <v>0.2666</v>
      </c>
      <c r="F22" s="490">
        <v>0.25</v>
      </c>
    </row>
    <row r="23" spans="1:6" ht="16">
      <c r="A23" s="475" t="s">
        <v>240</v>
      </c>
      <c r="B23" s="479" t="s">
        <v>550</v>
      </c>
      <c r="C23" s="117">
        <v>5.1000000000000004E-3</v>
      </c>
      <c r="D23" s="117">
        <f t="shared" si="0"/>
        <v>5.0099999999999999E-2</v>
      </c>
      <c r="E23" s="489">
        <v>7.7999999999999996E-3</v>
      </c>
      <c r="F23" s="490">
        <v>0.25</v>
      </c>
    </row>
    <row r="24" spans="1:6" ht="16">
      <c r="A24" s="475" t="s">
        <v>343</v>
      </c>
      <c r="B24" s="479" t="s">
        <v>549</v>
      </c>
      <c r="C24" s="117">
        <v>6.3700000000000007E-2</v>
      </c>
      <c r="D24" s="117">
        <f t="shared" si="0"/>
        <v>0.1394</v>
      </c>
      <c r="E24" s="489">
        <v>9.7100000000000006E-2</v>
      </c>
      <c r="F24" s="490">
        <v>0</v>
      </c>
    </row>
    <row r="25" spans="1:6" ht="16">
      <c r="A25" s="475" t="s">
        <v>552</v>
      </c>
      <c r="B25" s="479" t="s">
        <v>539</v>
      </c>
      <c r="C25" s="117">
        <v>3.8300000000000001E-2</v>
      </c>
      <c r="D25" s="117">
        <f t="shared" si="0"/>
        <v>0.10059999999999999</v>
      </c>
      <c r="E25" s="489">
        <v>5.8299999999999998E-2</v>
      </c>
      <c r="F25" s="490">
        <v>0.3</v>
      </c>
    </row>
    <row r="26" spans="1:6" ht="16">
      <c r="A26" s="475" t="s">
        <v>241</v>
      </c>
      <c r="B26" s="479" t="s">
        <v>553</v>
      </c>
      <c r="C26" s="117">
        <v>7.1999999999999998E-3</v>
      </c>
      <c r="D26" s="117">
        <f t="shared" si="0"/>
        <v>5.33E-2</v>
      </c>
      <c r="E26" s="489">
        <v>1.0999999999999999E-2</v>
      </c>
      <c r="F26" s="490">
        <v>0</v>
      </c>
    </row>
    <row r="27" spans="1:6" ht="16">
      <c r="A27" s="475" t="s">
        <v>242</v>
      </c>
      <c r="B27" s="479" t="s">
        <v>603</v>
      </c>
      <c r="C27" s="117">
        <v>0.10199999999999999</v>
      </c>
      <c r="D27" s="117">
        <f t="shared" si="0"/>
        <v>0.19770000000000001</v>
      </c>
      <c r="E27" s="489">
        <v>0.15540000000000001</v>
      </c>
      <c r="F27" s="490">
        <v>0.25</v>
      </c>
    </row>
    <row r="28" spans="1:6" ht="16">
      <c r="A28" s="475" t="s">
        <v>243</v>
      </c>
      <c r="B28" s="479" t="s">
        <v>551</v>
      </c>
      <c r="C28" s="117">
        <v>5.5199999999999999E-2</v>
      </c>
      <c r="D28" s="117">
        <f t="shared" si="0"/>
        <v>0.12639999999999998</v>
      </c>
      <c r="E28" s="489">
        <v>8.4099999999999994E-2</v>
      </c>
      <c r="F28" s="490">
        <v>0.1</v>
      </c>
    </row>
    <row r="29" spans="1:6" ht="16">
      <c r="A29" s="475" t="s">
        <v>244</v>
      </c>
      <c r="B29" s="479" t="s">
        <v>543</v>
      </c>
      <c r="C29" s="117">
        <v>1.3599999999999999E-2</v>
      </c>
      <c r="D29" s="117">
        <f t="shared" si="0"/>
        <v>6.3E-2</v>
      </c>
      <c r="E29" s="489">
        <v>2.07E-2</v>
      </c>
      <c r="F29" s="490">
        <v>0.22</v>
      </c>
    </row>
    <row r="30" spans="1:6" ht="16">
      <c r="A30" s="475" t="s">
        <v>245</v>
      </c>
      <c r="B30" s="479" t="s">
        <v>559</v>
      </c>
      <c r="C30" s="117">
        <v>2.1299999999999999E-2</v>
      </c>
      <c r="D30" s="117">
        <f t="shared" si="0"/>
        <v>7.4699999999999989E-2</v>
      </c>
      <c r="E30" s="489">
        <v>3.2399999999999998E-2</v>
      </c>
      <c r="F30" s="490">
        <v>0.34</v>
      </c>
    </row>
    <row r="31" spans="1:6" ht="16">
      <c r="A31" s="475" t="s">
        <v>864</v>
      </c>
      <c r="B31" s="479" t="s">
        <v>635</v>
      </c>
      <c r="C31" s="117">
        <v>4.9151830261848689E-2</v>
      </c>
      <c r="D31" s="117">
        <f t="shared" si="0"/>
        <v>0.117176823349771</v>
      </c>
      <c r="E31" s="489">
        <v>7.4876823349770999E-2</v>
      </c>
      <c r="F31" s="490">
        <v>0.26526547543374851</v>
      </c>
    </row>
    <row r="32" spans="1:6" ht="16">
      <c r="A32" s="487" t="s">
        <v>554</v>
      </c>
      <c r="B32" s="479" t="s">
        <v>635</v>
      </c>
      <c r="C32" s="117">
        <v>5.1000000000000004E-3</v>
      </c>
      <c r="D32" s="117">
        <f t="shared" si="0"/>
        <v>5.0099999999999999E-2</v>
      </c>
      <c r="E32" s="489">
        <v>7.7999999999999996E-3</v>
      </c>
      <c r="F32" s="490">
        <v>5.0200000000000002E-2</v>
      </c>
    </row>
    <row r="33" spans="1:6" ht="16">
      <c r="A33" s="475" t="s">
        <v>246</v>
      </c>
      <c r="B33" s="479" t="s">
        <v>543</v>
      </c>
      <c r="C33" s="117">
        <v>1.3599999999999999E-2</v>
      </c>
      <c r="D33" s="117">
        <f t="shared" si="0"/>
        <v>6.3E-2</v>
      </c>
      <c r="E33" s="489">
        <v>2.07E-2</v>
      </c>
      <c r="F33" s="490">
        <v>0.1</v>
      </c>
    </row>
    <row r="34" spans="1:6" ht="16">
      <c r="A34" s="475" t="s">
        <v>456</v>
      </c>
      <c r="B34" s="479" t="s">
        <v>549</v>
      </c>
      <c r="C34" s="117">
        <v>6.3700000000000007E-2</v>
      </c>
      <c r="D34" s="117">
        <f t="shared" si="0"/>
        <v>0.1394</v>
      </c>
      <c r="E34" s="489">
        <v>9.7100000000000006E-2</v>
      </c>
      <c r="F34" s="490">
        <v>0.27500000000000002</v>
      </c>
    </row>
    <row r="35" spans="1:6" ht="16">
      <c r="A35" s="475" t="s">
        <v>247</v>
      </c>
      <c r="B35" s="479" t="s">
        <v>542</v>
      </c>
      <c r="C35" s="117">
        <v>4.6699999999999998E-2</v>
      </c>
      <c r="D35" s="117">
        <f t="shared" si="0"/>
        <v>0.11349999999999999</v>
      </c>
      <c r="E35" s="489">
        <v>7.1199999999999999E-2</v>
      </c>
      <c r="F35" s="490">
        <v>0.2</v>
      </c>
    </row>
    <row r="36" spans="1:6" ht="16">
      <c r="A36" s="475" t="s">
        <v>457</v>
      </c>
      <c r="B36" s="479" t="s">
        <v>549</v>
      </c>
      <c r="C36" s="117">
        <v>6.3700000000000007E-2</v>
      </c>
      <c r="D36" s="117">
        <f t="shared" si="0"/>
        <v>0.1394</v>
      </c>
      <c r="E36" s="489">
        <v>9.7100000000000006E-2</v>
      </c>
      <c r="F36" s="490">
        <v>0.33</v>
      </c>
    </row>
    <row r="37" spans="1:6" ht="16">
      <c r="A37" s="475" t="s">
        <v>248</v>
      </c>
      <c r="B37" s="479" t="s">
        <v>544</v>
      </c>
      <c r="C37" s="117">
        <v>0</v>
      </c>
      <c r="D37" s="117">
        <f t="shared" si="0"/>
        <v>4.2299999999999997E-2</v>
      </c>
      <c r="E37" s="489">
        <v>0</v>
      </c>
      <c r="F37" s="490">
        <v>0.26140000000000002</v>
      </c>
    </row>
    <row r="38" spans="1:6" ht="16">
      <c r="A38" s="475" t="s">
        <v>458</v>
      </c>
      <c r="B38" s="479" t="s">
        <v>542</v>
      </c>
      <c r="C38" s="117">
        <v>4.6699999999999998E-2</v>
      </c>
      <c r="D38" s="117">
        <f t="shared" si="0"/>
        <v>0.11349999999999999</v>
      </c>
      <c r="E38" s="489">
        <v>7.1199999999999999E-2</v>
      </c>
      <c r="F38" s="490">
        <v>0.26860000000000001</v>
      </c>
    </row>
    <row r="39" spans="1:6" ht="16">
      <c r="A39" s="475" t="s">
        <v>249</v>
      </c>
      <c r="B39" s="479" t="s">
        <v>635</v>
      </c>
      <c r="C39" s="117">
        <v>5.1000000000000004E-3</v>
      </c>
      <c r="D39" s="117">
        <f t="shared" si="0"/>
        <v>5.0099999999999999E-2</v>
      </c>
      <c r="E39" s="489">
        <v>7.7999999999999996E-3</v>
      </c>
      <c r="F39" s="490">
        <v>0</v>
      </c>
    </row>
    <row r="40" spans="1:6" ht="16">
      <c r="A40" s="475" t="s">
        <v>865</v>
      </c>
      <c r="B40" s="479" t="s">
        <v>635</v>
      </c>
      <c r="C40" s="117">
        <v>6.8042644591899959E-3</v>
      </c>
      <c r="D40" s="117">
        <f t="shared" si="0"/>
        <v>5.2665467678857734E-2</v>
      </c>
      <c r="E40" s="489">
        <v>1.0365467678857737E-2</v>
      </c>
      <c r="F40" s="490">
        <v>0.25557231156583926</v>
      </c>
    </row>
    <row r="41" spans="1:6" ht="16">
      <c r="A41" s="475" t="s">
        <v>250</v>
      </c>
      <c r="B41" s="479" t="s">
        <v>553</v>
      </c>
      <c r="C41" s="117">
        <v>7.1999999999999998E-3</v>
      </c>
      <c r="D41" s="117">
        <f t="shared" si="0"/>
        <v>5.33E-2</v>
      </c>
      <c r="E41" s="489">
        <v>1.0999999999999999E-2</v>
      </c>
      <c r="F41" s="490">
        <v>0.27</v>
      </c>
    </row>
    <row r="42" spans="1:6" ht="16">
      <c r="A42" s="475" t="s">
        <v>251</v>
      </c>
      <c r="B42" s="479" t="s">
        <v>555</v>
      </c>
      <c r="C42" s="117">
        <v>6.0000000000000001E-3</v>
      </c>
      <c r="D42" s="117">
        <f t="shared" si="0"/>
        <v>5.1400000000000001E-2</v>
      </c>
      <c r="E42" s="489">
        <v>9.1000000000000004E-3</v>
      </c>
      <c r="F42" s="490">
        <v>0.25</v>
      </c>
    </row>
    <row r="43" spans="1:6" ht="16">
      <c r="A43" s="475" t="s">
        <v>252</v>
      </c>
      <c r="B43" s="479" t="s">
        <v>547</v>
      </c>
      <c r="C43" s="117">
        <v>1.8700000000000001E-2</v>
      </c>
      <c r="D43" s="117">
        <f t="shared" si="0"/>
        <v>7.0800000000000002E-2</v>
      </c>
      <c r="E43" s="489">
        <v>2.8500000000000001E-2</v>
      </c>
      <c r="F43" s="490">
        <v>0.35</v>
      </c>
    </row>
    <row r="44" spans="1:6" ht="16">
      <c r="A44" s="475" t="s">
        <v>474</v>
      </c>
      <c r="B44" s="479" t="s">
        <v>551</v>
      </c>
      <c r="C44" s="117">
        <v>5.5199999999999999E-2</v>
      </c>
      <c r="D44" s="117">
        <f t="shared" si="0"/>
        <v>0.12639999999999998</v>
      </c>
      <c r="E44" s="489">
        <v>8.4099999999999994E-2</v>
      </c>
      <c r="F44" s="490">
        <v>0.3</v>
      </c>
    </row>
    <row r="45" spans="1:6" ht="16">
      <c r="A45" s="475" t="s">
        <v>475</v>
      </c>
      <c r="B45" s="479" t="s">
        <v>556</v>
      </c>
      <c r="C45" s="117">
        <v>7.6499999999999999E-2</v>
      </c>
      <c r="D45" s="117">
        <f t="shared" si="0"/>
        <v>0.15889999999999999</v>
      </c>
      <c r="E45" s="489">
        <v>0.1166</v>
      </c>
      <c r="F45" s="490">
        <v>0.26860000000000001</v>
      </c>
    </row>
    <row r="46" spans="1:6" ht="16">
      <c r="A46" s="475" t="s">
        <v>459</v>
      </c>
      <c r="B46" s="479" t="s">
        <v>539</v>
      </c>
      <c r="C46" s="117">
        <v>3.8300000000000001E-2</v>
      </c>
      <c r="D46" s="117">
        <f t="shared" si="0"/>
        <v>0.10059999999999999</v>
      </c>
      <c r="E46" s="489">
        <v>5.8299999999999998E-2</v>
      </c>
      <c r="F46" s="490">
        <v>0.2</v>
      </c>
    </row>
    <row r="47" spans="1:6" ht="16">
      <c r="A47" s="475" t="s">
        <v>253</v>
      </c>
      <c r="B47" s="479" t="s">
        <v>546</v>
      </c>
      <c r="C47" s="117">
        <v>2.5600000000000001E-2</v>
      </c>
      <c r="D47" s="117">
        <f t="shared" si="0"/>
        <v>8.1299999999999997E-2</v>
      </c>
      <c r="E47" s="489">
        <v>3.9E-2</v>
      </c>
      <c r="F47" s="490">
        <v>0.3</v>
      </c>
    </row>
    <row r="48" spans="1:6" ht="16">
      <c r="A48" s="475" t="s">
        <v>254</v>
      </c>
      <c r="B48" s="479" t="s">
        <v>557</v>
      </c>
      <c r="C48" s="117">
        <v>1.0200000000000001E-2</v>
      </c>
      <c r="D48" s="117">
        <f t="shared" si="0"/>
        <v>5.7799999999999997E-2</v>
      </c>
      <c r="E48" s="489">
        <v>1.55E-2</v>
      </c>
      <c r="F48" s="490">
        <v>0.18</v>
      </c>
    </row>
    <row r="49" spans="1:6" ht="16">
      <c r="A49" s="475" t="s">
        <v>345</v>
      </c>
      <c r="B49" s="479" t="s">
        <v>603</v>
      </c>
      <c r="C49" s="117">
        <v>0.10199999999999999</v>
      </c>
      <c r="D49" s="117">
        <f t="shared" si="0"/>
        <v>0.19770000000000001</v>
      </c>
      <c r="E49" s="489">
        <v>0.15540000000000001</v>
      </c>
      <c r="F49" s="490">
        <v>0.35</v>
      </c>
    </row>
    <row r="50" spans="1:6" ht="16">
      <c r="A50" s="476" t="s">
        <v>866</v>
      </c>
      <c r="B50" s="479" t="s">
        <v>635</v>
      </c>
      <c r="C50" s="117">
        <v>2.7785941866780777E-2</v>
      </c>
      <c r="D50" s="117">
        <f t="shared" si="0"/>
        <v>8.4628496206189827E-2</v>
      </c>
      <c r="E50" s="489">
        <v>4.2328496206189829E-2</v>
      </c>
      <c r="F50" s="490">
        <v>0.31546691365656965</v>
      </c>
    </row>
    <row r="51" spans="1:6" ht="16">
      <c r="A51" s="475" t="s">
        <v>255</v>
      </c>
      <c r="B51" s="479" t="s">
        <v>557</v>
      </c>
      <c r="C51" s="117">
        <v>1.0200000000000001E-2</v>
      </c>
      <c r="D51" s="117">
        <f t="shared" si="0"/>
        <v>5.7799999999999997E-2</v>
      </c>
      <c r="E51" s="489">
        <v>1.55E-2</v>
      </c>
      <c r="F51" s="490">
        <v>0.125</v>
      </c>
    </row>
    <row r="52" spans="1:6" ht="16">
      <c r="A52" s="475" t="s">
        <v>256</v>
      </c>
      <c r="B52" s="479" t="s">
        <v>550</v>
      </c>
      <c r="C52" s="117">
        <v>5.1000000000000004E-3</v>
      </c>
      <c r="D52" s="117">
        <f t="shared" si="0"/>
        <v>5.0099999999999999E-2</v>
      </c>
      <c r="E52" s="489">
        <v>7.7999999999999996E-3</v>
      </c>
      <c r="F52" s="490">
        <v>0.21</v>
      </c>
    </row>
    <row r="53" spans="1:6" ht="16">
      <c r="A53" s="475" t="s">
        <v>257</v>
      </c>
      <c r="B53" s="479" t="s">
        <v>544</v>
      </c>
      <c r="C53" s="117">
        <v>0</v>
      </c>
      <c r="D53" s="117">
        <f t="shared" si="0"/>
        <v>4.2299999999999997E-2</v>
      </c>
      <c r="E53" s="489">
        <v>0</v>
      </c>
      <c r="F53" s="490">
        <v>0.22</v>
      </c>
    </row>
    <row r="54" spans="1:6" ht="16">
      <c r="A54" s="475" t="s">
        <v>258</v>
      </c>
      <c r="B54" s="479" t="s">
        <v>546</v>
      </c>
      <c r="C54" s="117">
        <v>2.5600000000000001E-2</v>
      </c>
      <c r="D54" s="117">
        <f t="shared" si="0"/>
        <v>8.1299999999999997E-2</v>
      </c>
      <c r="E54" s="489">
        <v>3.9E-2</v>
      </c>
      <c r="F54" s="490">
        <v>0.27</v>
      </c>
    </row>
    <row r="55" spans="1:6" ht="16">
      <c r="A55" s="475" t="s">
        <v>259</v>
      </c>
      <c r="B55" s="479" t="s">
        <v>604</v>
      </c>
      <c r="C55" s="117">
        <v>8.5000000000000006E-2</v>
      </c>
      <c r="D55" s="117">
        <f t="shared" si="0"/>
        <v>0.17180000000000001</v>
      </c>
      <c r="E55" s="489">
        <v>0.1295</v>
      </c>
      <c r="F55" s="490">
        <v>0.25</v>
      </c>
    </row>
    <row r="56" spans="1:6" ht="16">
      <c r="A56" s="475" t="s">
        <v>260</v>
      </c>
      <c r="B56" s="479" t="s">
        <v>549</v>
      </c>
      <c r="C56" s="117">
        <v>6.3700000000000007E-2</v>
      </c>
      <c r="D56" s="117">
        <f t="shared" si="0"/>
        <v>0.1394</v>
      </c>
      <c r="E56" s="489">
        <v>9.7100000000000006E-2</v>
      </c>
      <c r="F56" s="490">
        <v>0.22500000000000001</v>
      </c>
    </row>
    <row r="57" spans="1:6" ht="16">
      <c r="A57" s="475" t="s">
        <v>346</v>
      </c>
      <c r="B57" s="479" t="s">
        <v>551</v>
      </c>
      <c r="C57" s="117">
        <v>5.5199999999999999E-2</v>
      </c>
      <c r="D57" s="117">
        <f t="shared" si="0"/>
        <v>0.12639999999999998</v>
      </c>
      <c r="E57" s="489">
        <v>8.4099999999999994E-2</v>
      </c>
      <c r="F57" s="490">
        <v>0.3</v>
      </c>
    </row>
    <row r="58" spans="1:6" ht="16">
      <c r="A58" s="475" t="s">
        <v>261</v>
      </c>
      <c r="B58" s="479" t="s">
        <v>555</v>
      </c>
      <c r="C58" s="117">
        <v>6.0000000000000001E-3</v>
      </c>
      <c r="D58" s="117">
        <f t="shared" si="0"/>
        <v>5.1400000000000001E-2</v>
      </c>
      <c r="E58" s="489">
        <v>9.1000000000000004E-3</v>
      </c>
      <c r="F58" s="490">
        <v>0.2</v>
      </c>
    </row>
    <row r="59" spans="1:6" ht="16">
      <c r="A59" s="475" t="s">
        <v>476</v>
      </c>
      <c r="B59" s="479" t="s">
        <v>556</v>
      </c>
      <c r="C59" s="117">
        <v>7.6499999999999999E-2</v>
      </c>
      <c r="D59" s="117">
        <f t="shared" si="0"/>
        <v>0.15889999999999999</v>
      </c>
      <c r="E59" s="489">
        <v>0.1166</v>
      </c>
      <c r="F59" s="490">
        <v>0.3</v>
      </c>
    </row>
    <row r="60" spans="1:6" ht="16">
      <c r="A60" s="475" t="s">
        <v>867</v>
      </c>
      <c r="B60" s="479" t="s">
        <v>635</v>
      </c>
      <c r="C60" s="473">
        <v>2.7785941866780777E-2</v>
      </c>
      <c r="D60" s="117">
        <f t="shared" si="0"/>
        <v>8.4628496206189827E-2</v>
      </c>
      <c r="E60" s="489">
        <v>4.2328496206189829E-2</v>
      </c>
      <c r="F60" s="490">
        <v>0.31546691365656965</v>
      </c>
    </row>
    <row r="61" spans="1:6" ht="16">
      <c r="A61" s="475" t="s">
        <v>262</v>
      </c>
      <c r="B61" s="479" t="s">
        <v>539</v>
      </c>
      <c r="C61" s="117">
        <v>3.8300000000000001E-2</v>
      </c>
      <c r="D61" s="117">
        <f t="shared" si="0"/>
        <v>0.10059999999999999</v>
      </c>
      <c r="E61" s="489">
        <v>5.8299999999999998E-2</v>
      </c>
      <c r="F61" s="490">
        <v>0.25</v>
      </c>
    </row>
    <row r="62" spans="1:6" ht="16">
      <c r="A62" s="475" t="s">
        <v>263</v>
      </c>
      <c r="B62" s="479" t="s">
        <v>545</v>
      </c>
      <c r="C62" s="117">
        <v>2.3E-3</v>
      </c>
      <c r="D62" s="117">
        <f t="shared" si="0"/>
        <v>4.5899999999999996E-2</v>
      </c>
      <c r="E62" s="489">
        <v>3.5999999999999999E-3</v>
      </c>
      <c r="F62" s="490">
        <v>0.2</v>
      </c>
    </row>
    <row r="63" spans="1:6" ht="16">
      <c r="A63" s="475" t="s">
        <v>264</v>
      </c>
      <c r="B63" s="479" t="s">
        <v>550</v>
      </c>
      <c r="C63" s="117">
        <v>5.1000000000000004E-3</v>
      </c>
      <c r="D63" s="117">
        <f t="shared" si="0"/>
        <v>5.0099999999999999E-2</v>
      </c>
      <c r="E63" s="489">
        <v>7.7999999999999996E-3</v>
      </c>
      <c r="F63" s="490">
        <v>0.25829999999999997</v>
      </c>
    </row>
    <row r="64" spans="1:6" ht="16">
      <c r="A64" s="475" t="s">
        <v>868</v>
      </c>
      <c r="B64" s="479" t="s">
        <v>635</v>
      </c>
      <c r="C64" s="473">
        <v>2.7785941866780777E-2</v>
      </c>
      <c r="D64" s="117">
        <f t="shared" si="0"/>
        <v>8.4628496206189827E-2</v>
      </c>
      <c r="E64" s="489">
        <v>4.2328496206189829E-2</v>
      </c>
      <c r="F64" s="490">
        <v>0.31546691365656965</v>
      </c>
    </row>
    <row r="65" spans="1:6" ht="16">
      <c r="A65" s="475" t="s">
        <v>460</v>
      </c>
      <c r="B65" s="479" t="s">
        <v>556</v>
      </c>
      <c r="C65" s="117">
        <v>7.6499999999999999E-2</v>
      </c>
      <c r="D65" s="117">
        <f t="shared" si="0"/>
        <v>0.15889999999999999</v>
      </c>
      <c r="E65" s="489">
        <v>0.1166</v>
      </c>
      <c r="F65" s="490">
        <v>0.3</v>
      </c>
    </row>
    <row r="66" spans="1:6" ht="16">
      <c r="A66" s="486" t="s">
        <v>558</v>
      </c>
      <c r="B66" s="479" t="s">
        <v>635</v>
      </c>
      <c r="C66" s="117">
        <v>4.6699999999999998E-2</v>
      </c>
      <c r="D66" s="117">
        <f t="shared" si="0"/>
        <v>0.11349999999999999</v>
      </c>
      <c r="E66" s="489">
        <v>7.1199999999999999E-2</v>
      </c>
      <c r="F66" s="490">
        <v>0.11360000000000001</v>
      </c>
    </row>
    <row r="67" spans="1:6" ht="16">
      <c r="A67" s="475" t="s">
        <v>347</v>
      </c>
      <c r="B67" s="479" t="s">
        <v>546</v>
      </c>
      <c r="C67" s="117">
        <v>2.5600000000000001E-2</v>
      </c>
      <c r="D67" s="117">
        <f t="shared" si="0"/>
        <v>8.1299999999999997E-2</v>
      </c>
      <c r="E67" s="489">
        <v>3.9E-2</v>
      </c>
      <c r="F67" s="490">
        <v>0.15</v>
      </c>
    </row>
    <row r="68" spans="1:6" ht="16">
      <c r="A68" s="475" t="s">
        <v>265</v>
      </c>
      <c r="B68" s="479" t="s">
        <v>544</v>
      </c>
      <c r="C68" s="117">
        <v>0</v>
      </c>
      <c r="D68" s="117">
        <f t="shared" si="0"/>
        <v>4.2299999999999997E-2</v>
      </c>
      <c r="E68" s="489">
        <v>0</v>
      </c>
      <c r="F68" s="490">
        <v>0.29930000000000001</v>
      </c>
    </row>
    <row r="69" spans="1:6" ht="16">
      <c r="A69" s="475" t="s">
        <v>461</v>
      </c>
      <c r="B69" s="479" t="s">
        <v>549</v>
      </c>
      <c r="C69" s="117">
        <v>6.3700000000000007E-2</v>
      </c>
      <c r="D69" s="117">
        <f t="shared" si="0"/>
        <v>0.1394</v>
      </c>
      <c r="E69" s="489">
        <v>9.7100000000000006E-2</v>
      </c>
      <c r="F69" s="490">
        <v>0.25</v>
      </c>
    </row>
    <row r="70" spans="1:6" ht="16">
      <c r="A70" s="475" t="s">
        <v>869</v>
      </c>
      <c r="B70" s="479" t="s">
        <v>635</v>
      </c>
      <c r="C70" s="117">
        <v>6.8042644591899959E-3</v>
      </c>
      <c r="D70" s="117">
        <f t="shared" ref="D70:D133" si="1">$B$1+E70</f>
        <v>5.2665467678857734E-2</v>
      </c>
      <c r="E70" s="489">
        <v>1.0365467678857737E-2</v>
      </c>
      <c r="F70" s="490">
        <v>0.25557231156583926</v>
      </c>
    </row>
    <row r="71" spans="1:6" ht="16">
      <c r="A71" s="475" t="s">
        <v>266</v>
      </c>
      <c r="B71" s="479" t="s">
        <v>547</v>
      </c>
      <c r="C71" s="117">
        <v>1.8700000000000001E-2</v>
      </c>
      <c r="D71" s="117">
        <f t="shared" si="1"/>
        <v>7.0800000000000002E-2</v>
      </c>
      <c r="E71" s="489">
        <v>2.8500000000000001E-2</v>
      </c>
      <c r="F71" s="490">
        <v>0.22</v>
      </c>
    </row>
    <row r="72" spans="1:6" ht="16">
      <c r="A72" s="475" t="s">
        <v>870</v>
      </c>
      <c r="B72" s="479" t="s">
        <v>544</v>
      </c>
      <c r="C72" s="117">
        <v>0</v>
      </c>
      <c r="D72" s="117">
        <f t="shared" si="1"/>
        <v>4.2299999999999997E-2</v>
      </c>
      <c r="E72" s="489">
        <v>0</v>
      </c>
      <c r="F72" s="490">
        <v>0.22</v>
      </c>
    </row>
    <row r="73" spans="1:6" ht="16">
      <c r="A73" s="475" t="s">
        <v>267</v>
      </c>
      <c r="B73" s="479" t="s">
        <v>559</v>
      </c>
      <c r="C73" s="117">
        <v>2.1299999999999999E-2</v>
      </c>
      <c r="D73" s="117">
        <f t="shared" si="1"/>
        <v>7.4699999999999989E-2</v>
      </c>
      <c r="E73" s="489">
        <v>3.2399999999999998E-2</v>
      </c>
      <c r="F73" s="490">
        <v>0.25</v>
      </c>
    </row>
    <row r="74" spans="1:6" ht="16">
      <c r="A74" s="475" t="s">
        <v>623</v>
      </c>
      <c r="B74" s="479" t="s">
        <v>555</v>
      </c>
      <c r="C74" s="117">
        <v>6.0000000000000001E-3</v>
      </c>
      <c r="D74" s="117">
        <f t="shared" si="1"/>
        <v>5.1400000000000001E-2</v>
      </c>
      <c r="E74" s="489">
        <v>9.1000000000000004E-3</v>
      </c>
      <c r="F74" s="490">
        <v>0</v>
      </c>
    </row>
    <row r="75" spans="1:6" ht="16">
      <c r="A75" s="487" t="s">
        <v>560</v>
      </c>
      <c r="B75" s="479" t="s">
        <v>635</v>
      </c>
      <c r="C75" s="117">
        <v>7.6499999999999999E-2</v>
      </c>
      <c r="D75" s="117">
        <f t="shared" si="1"/>
        <v>0.15889999999999999</v>
      </c>
      <c r="E75" s="489">
        <v>0.1166</v>
      </c>
      <c r="F75" s="490">
        <v>0.159</v>
      </c>
    </row>
    <row r="76" spans="1:6" ht="16">
      <c r="A76" s="486" t="s">
        <v>561</v>
      </c>
      <c r="B76" s="479" t="s">
        <v>635</v>
      </c>
      <c r="C76" s="117">
        <v>6.3700000000000007E-2</v>
      </c>
      <c r="D76" s="117">
        <f t="shared" si="1"/>
        <v>0.1394</v>
      </c>
      <c r="E76" s="489">
        <v>9.7100000000000006E-2</v>
      </c>
      <c r="F76" s="490">
        <v>0.13950000000000001</v>
      </c>
    </row>
    <row r="77" spans="1:6" ht="16">
      <c r="A77" s="487" t="s">
        <v>562</v>
      </c>
      <c r="B77" s="479" t="s">
        <v>635</v>
      </c>
      <c r="C77" s="117">
        <v>1.3599999999999999E-2</v>
      </c>
      <c r="D77" s="117">
        <f t="shared" si="1"/>
        <v>6.3E-2</v>
      </c>
      <c r="E77" s="489">
        <v>2.07E-2</v>
      </c>
      <c r="F77" s="490">
        <v>6.3100000000000003E-2</v>
      </c>
    </row>
    <row r="78" spans="1:6" ht="16">
      <c r="A78" s="486" t="s">
        <v>563</v>
      </c>
      <c r="B78" s="479" t="s">
        <v>635</v>
      </c>
      <c r="C78" s="117">
        <v>8.5000000000000006E-2</v>
      </c>
      <c r="D78" s="117">
        <f t="shared" si="1"/>
        <v>0.17180000000000001</v>
      </c>
      <c r="E78" s="489">
        <v>0.1295</v>
      </c>
      <c r="F78" s="490">
        <v>0.1719</v>
      </c>
    </row>
    <row r="79" spans="1:6" ht="16">
      <c r="A79" s="475" t="s">
        <v>268</v>
      </c>
      <c r="B79" s="479" t="s">
        <v>539</v>
      </c>
      <c r="C79" s="117">
        <v>3.8300000000000001E-2</v>
      </c>
      <c r="D79" s="117">
        <f t="shared" si="1"/>
        <v>0.10059999999999999</v>
      </c>
      <c r="E79" s="489">
        <v>5.8299999999999998E-2</v>
      </c>
      <c r="F79" s="490">
        <v>0.3</v>
      </c>
    </row>
    <row r="80" spans="1:6" ht="16">
      <c r="A80" s="475" t="s">
        <v>269</v>
      </c>
      <c r="B80" s="479" t="s">
        <v>550</v>
      </c>
      <c r="C80" s="117">
        <v>5.1000000000000004E-3</v>
      </c>
      <c r="D80" s="117">
        <f t="shared" si="1"/>
        <v>5.0099999999999999E-2</v>
      </c>
      <c r="E80" s="489">
        <v>7.7999999999999996E-3</v>
      </c>
      <c r="F80" s="490">
        <v>0.16500000000000001</v>
      </c>
    </row>
    <row r="81" spans="1:6" ht="16">
      <c r="A81" s="475" t="s">
        <v>270</v>
      </c>
      <c r="B81" s="479" t="s">
        <v>541</v>
      </c>
      <c r="C81" s="117">
        <v>1.6199999999999999E-2</v>
      </c>
      <c r="D81" s="117">
        <f t="shared" si="1"/>
        <v>6.6900000000000001E-2</v>
      </c>
      <c r="E81" s="489">
        <v>2.46E-2</v>
      </c>
      <c r="F81" s="490">
        <v>0.09</v>
      </c>
    </row>
    <row r="82" spans="1:6" ht="16">
      <c r="A82" s="475" t="s">
        <v>271</v>
      </c>
      <c r="B82" s="479" t="s">
        <v>555</v>
      </c>
      <c r="C82" s="117">
        <v>6.0000000000000001E-3</v>
      </c>
      <c r="D82" s="117">
        <f t="shared" si="1"/>
        <v>5.1400000000000001E-2</v>
      </c>
      <c r="E82" s="489">
        <v>9.1000000000000004E-3</v>
      </c>
      <c r="F82" s="490">
        <v>0.21</v>
      </c>
    </row>
    <row r="83" spans="1:6" ht="16">
      <c r="A83" s="475" t="s">
        <v>272</v>
      </c>
      <c r="B83" s="479" t="s">
        <v>547</v>
      </c>
      <c r="C83" s="117">
        <v>1.8700000000000001E-2</v>
      </c>
      <c r="D83" s="117">
        <f t="shared" si="1"/>
        <v>7.0800000000000002E-2</v>
      </c>
      <c r="E83" s="489">
        <v>2.8500000000000001E-2</v>
      </c>
      <c r="F83" s="490">
        <v>0.3</v>
      </c>
    </row>
    <row r="84" spans="1:6" ht="16">
      <c r="A84" s="475" t="s">
        <v>273</v>
      </c>
      <c r="B84" s="479" t="s">
        <v>541</v>
      </c>
      <c r="C84" s="117">
        <v>1.6199999999999999E-2</v>
      </c>
      <c r="D84" s="117">
        <f t="shared" si="1"/>
        <v>6.6900000000000001E-2</v>
      </c>
      <c r="E84" s="489">
        <v>2.46E-2</v>
      </c>
      <c r="F84" s="490">
        <v>0.22</v>
      </c>
    </row>
    <row r="85" spans="1:6" ht="16">
      <c r="A85" s="487" t="s">
        <v>564</v>
      </c>
      <c r="B85" s="479" t="s">
        <v>635</v>
      </c>
      <c r="C85" s="117">
        <v>6.3700000000000007E-2</v>
      </c>
      <c r="D85" s="117">
        <f t="shared" si="1"/>
        <v>0.1394</v>
      </c>
      <c r="E85" s="489">
        <v>9.7100000000000006E-2</v>
      </c>
      <c r="F85" s="490">
        <v>0.13950000000000001</v>
      </c>
    </row>
    <row r="86" spans="1:6" ht="16">
      <c r="A86" s="475" t="s">
        <v>527</v>
      </c>
      <c r="B86" s="479" t="s">
        <v>549</v>
      </c>
      <c r="C86" s="117">
        <v>6.3700000000000007E-2</v>
      </c>
      <c r="D86" s="117">
        <f t="shared" si="1"/>
        <v>0.1394</v>
      </c>
      <c r="E86" s="489">
        <v>9.7100000000000006E-2</v>
      </c>
      <c r="F86" s="490">
        <v>0.15</v>
      </c>
    </row>
    <row r="87" spans="1:6" ht="16">
      <c r="A87" s="475" t="s">
        <v>274</v>
      </c>
      <c r="B87" s="479" t="s">
        <v>550</v>
      </c>
      <c r="C87" s="117">
        <v>5.1000000000000004E-3</v>
      </c>
      <c r="D87" s="117">
        <f t="shared" si="1"/>
        <v>5.0099999999999999E-2</v>
      </c>
      <c r="E87" s="489">
        <v>7.7999999999999996E-3</v>
      </c>
      <c r="F87" s="490">
        <v>0.125</v>
      </c>
    </row>
    <row r="88" spans="1:6" ht="16">
      <c r="A88" s="475" t="s">
        <v>275</v>
      </c>
      <c r="B88" s="479" t="s">
        <v>550</v>
      </c>
      <c r="C88" s="117">
        <v>5.1000000000000004E-3</v>
      </c>
      <c r="D88" s="117">
        <f t="shared" si="1"/>
        <v>5.0099999999999999E-2</v>
      </c>
      <c r="E88" s="489">
        <v>7.7999999999999996E-3</v>
      </c>
      <c r="F88" s="490">
        <v>0</v>
      </c>
    </row>
    <row r="89" spans="1:6" ht="16">
      <c r="A89" s="475" t="s">
        <v>276</v>
      </c>
      <c r="B89" s="479" t="s">
        <v>543</v>
      </c>
      <c r="C89" s="117">
        <v>1.3599999999999999E-2</v>
      </c>
      <c r="D89" s="117">
        <f t="shared" si="1"/>
        <v>6.3E-2</v>
      </c>
      <c r="E89" s="489">
        <v>2.07E-2</v>
      </c>
      <c r="F89" s="490">
        <v>0.23</v>
      </c>
    </row>
    <row r="90" spans="1:6" ht="16">
      <c r="A90" s="475" t="s">
        <v>277</v>
      </c>
      <c r="B90" s="479" t="s">
        <v>541</v>
      </c>
      <c r="C90" s="117">
        <v>1.6199999999999999E-2</v>
      </c>
      <c r="D90" s="117">
        <f t="shared" si="1"/>
        <v>6.6900000000000001E-2</v>
      </c>
      <c r="E90" s="489">
        <v>2.46E-2</v>
      </c>
      <c r="F90" s="490">
        <v>0.27810000000000001</v>
      </c>
    </row>
    <row r="91" spans="1:6" ht="16">
      <c r="A91" s="475" t="s">
        <v>871</v>
      </c>
      <c r="B91" s="479" t="s">
        <v>546</v>
      </c>
      <c r="C91" s="123">
        <v>2.5600000000000001E-2</v>
      </c>
      <c r="D91" s="117">
        <f t="shared" si="1"/>
        <v>8.1299999999999997E-2</v>
      </c>
      <c r="E91" s="489">
        <v>3.9E-2</v>
      </c>
      <c r="F91" s="490">
        <v>0.25</v>
      </c>
    </row>
    <row r="92" spans="1:6" ht="16">
      <c r="A92" s="475" t="s">
        <v>278</v>
      </c>
      <c r="B92" s="479" t="s">
        <v>548</v>
      </c>
      <c r="C92" s="117">
        <v>3.0599999999999999E-2</v>
      </c>
      <c r="D92" s="117">
        <f t="shared" si="1"/>
        <v>8.8900000000000007E-2</v>
      </c>
      <c r="E92" s="489">
        <v>4.6600000000000003E-2</v>
      </c>
      <c r="F92" s="490">
        <v>0.25</v>
      </c>
    </row>
    <row r="93" spans="1:6" ht="16">
      <c r="A93" s="475" t="s">
        <v>279</v>
      </c>
      <c r="B93" s="479" t="s">
        <v>555</v>
      </c>
      <c r="C93" s="117">
        <v>6.0000000000000001E-3</v>
      </c>
      <c r="D93" s="117">
        <f t="shared" si="1"/>
        <v>5.1400000000000001E-2</v>
      </c>
      <c r="E93" s="489">
        <v>9.1000000000000004E-3</v>
      </c>
      <c r="F93" s="490">
        <v>0.2974</v>
      </c>
    </row>
    <row r="94" spans="1:6" ht="16">
      <c r="A94" s="475" t="s">
        <v>624</v>
      </c>
      <c r="B94" s="479" t="s">
        <v>550</v>
      </c>
      <c r="C94" s="117">
        <v>5.1000000000000004E-3</v>
      </c>
      <c r="D94" s="117">
        <f t="shared" si="1"/>
        <v>5.0099999999999999E-2</v>
      </c>
      <c r="E94" s="489">
        <v>7.7999999999999996E-3</v>
      </c>
      <c r="F94" s="490">
        <v>0</v>
      </c>
    </row>
    <row r="95" spans="1:6" ht="16">
      <c r="A95" s="475" t="s">
        <v>280</v>
      </c>
      <c r="B95" s="479" t="s">
        <v>548</v>
      </c>
      <c r="C95" s="117">
        <v>3.0599999999999999E-2</v>
      </c>
      <c r="D95" s="117">
        <f t="shared" si="1"/>
        <v>8.8900000000000007E-2</v>
      </c>
      <c r="E95" s="489">
        <v>4.6600000000000003E-2</v>
      </c>
      <c r="F95" s="490">
        <v>0.2</v>
      </c>
    </row>
    <row r="96" spans="1:6" ht="16">
      <c r="A96" s="475" t="s">
        <v>281</v>
      </c>
      <c r="B96" s="479" t="s">
        <v>543</v>
      </c>
      <c r="C96" s="117">
        <v>1.3599999999999999E-2</v>
      </c>
      <c r="D96" s="117">
        <f t="shared" si="1"/>
        <v>6.3E-2</v>
      </c>
      <c r="E96" s="489">
        <v>2.07E-2</v>
      </c>
      <c r="F96" s="490">
        <v>0.2</v>
      </c>
    </row>
    <row r="97" spans="1:6" ht="16">
      <c r="A97" s="475" t="s">
        <v>404</v>
      </c>
      <c r="B97" s="479" t="s">
        <v>549</v>
      </c>
      <c r="C97" s="117">
        <v>6.3700000000000007E-2</v>
      </c>
      <c r="D97" s="117">
        <f t="shared" si="1"/>
        <v>0.1394</v>
      </c>
      <c r="E97" s="489">
        <v>9.7100000000000006E-2</v>
      </c>
      <c r="F97" s="490">
        <v>0.3</v>
      </c>
    </row>
    <row r="98" spans="1:6" ht="16">
      <c r="A98" s="486" t="s">
        <v>565</v>
      </c>
      <c r="B98" s="479" t="s">
        <v>635</v>
      </c>
      <c r="C98" s="117">
        <v>0.10199999999999999</v>
      </c>
      <c r="D98" s="117">
        <f t="shared" si="1"/>
        <v>0.19770000000000001</v>
      </c>
      <c r="E98" s="489">
        <v>0.15540000000000001</v>
      </c>
      <c r="F98" s="490">
        <v>0.1978</v>
      </c>
    </row>
    <row r="99" spans="1:6" ht="16">
      <c r="A99" s="475" t="s">
        <v>282</v>
      </c>
      <c r="B99" s="479" t="s">
        <v>555</v>
      </c>
      <c r="C99" s="117">
        <v>6.0000000000000001E-3</v>
      </c>
      <c r="D99" s="117">
        <f t="shared" si="1"/>
        <v>5.1400000000000001E-2</v>
      </c>
      <c r="E99" s="489">
        <v>9.1000000000000004E-3</v>
      </c>
      <c r="F99" s="490">
        <v>0.15</v>
      </c>
    </row>
    <row r="100" spans="1:6" ht="16">
      <c r="A100" s="475" t="s">
        <v>462</v>
      </c>
      <c r="B100" s="479" t="s">
        <v>551</v>
      </c>
      <c r="C100" s="117">
        <v>5.5199999999999999E-2</v>
      </c>
      <c r="D100" s="117">
        <f t="shared" si="1"/>
        <v>0.12639999999999998</v>
      </c>
      <c r="E100" s="489">
        <v>8.4099999999999994E-2</v>
      </c>
      <c r="F100" s="490">
        <v>0.1</v>
      </c>
    </row>
    <row r="101" spans="1:6" ht="16">
      <c r="A101" s="475" t="s">
        <v>593</v>
      </c>
      <c r="B101" s="479" t="s">
        <v>556</v>
      </c>
      <c r="C101" s="117">
        <v>7.6499999999999999E-2</v>
      </c>
      <c r="D101" s="117">
        <f t="shared" si="1"/>
        <v>0.15889999999999999</v>
      </c>
      <c r="E101" s="489">
        <v>0.1166</v>
      </c>
      <c r="F101" s="490">
        <v>0.2</v>
      </c>
    </row>
    <row r="102" spans="1:6" ht="16">
      <c r="A102" s="475" t="s">
        <v>283</v>
      </c>
      <c r="B102" s="479" t="s">
        <v>557</v>
      </c>
      <c r="C102" s="117">
        <v>1.0200000000000001E-2</v>
      </c>
      <c r="D102" s="117">
        <f t="shared" si="1"/>
        <v>5.7799999999999997E-2</v>
      </c>
      <c r="E102" s="489">
        <v>1.55E-2</v>
      </c>
      <c r="F102" s="490">
        <v>0.2</v>
      </c>
    </row>
    <row r="103" spans="1:6" ht="16">
      <c r="A103" s="475" t="s">
        <v>348</v>
      </c>
      <c r="B103" s="479" t="s">
        <v>585</v>
      </c>
      <c r="C103" s="117">
        <v>0.17499999999999999</v>
      </c>
      <c r="D103" s="117">
        <f t="shared" si="1"/>
        <v>0.30890000000000001</v>
      </c>
      <c r="E103" s="489">
        <v>0.2666</v>
      </c>
      <c r="F103" s="490">
        <v>0.17</v>
      </c>
    </row>
    <row r="104" spans="1:6" ht="16">
      <c r="A104" s="487" t="s">
        <v>566</v>
      </c>
      <c r="B104" s="479" t="s">
        <v>635</v>
      </c>
      <c r="C104" s="117">
        <v>7.6499999999999999E-2</v>
      </c>
      <c r="D104" s="117">
        <f t="shared" si="1"/>
        <v>0.15889999999999999</v>
      </c>
      <c r="E104" s="489">
        <v>0.1166</v>
      </c>
      <c r="F104" s="490">
        <v>0.159</v>
      </c>
    </row>
    <row r="105" spans="1:6" ht="16">
      <c r="A105" s="486" t="s">
        <v>567</v>
      </c>
      <c r="B105" s="479" t="s">
        <v>635</v>
      </c>
      <c r="C105" s="117">
        <v>2.5600000000000001E-2</v>
      </c>
      <c r="D105" s="117">
        <f t="shared" si="1"/>
        <v>8.1299999999999997E-2</v>
      </c>
      <c r="E105" s="489">
        <v>3.9E-2</v>
      </c>
      <c r="F105" s="490">
        <v>8.14E-2</v>
      </c>
    </row>
    <row r="106" spans="1:6" ht="16">
      <c r="A106" s="475" t="s">
        <v>284</v>
      </c>
      <c r="B106" s="479" t="s">
        <v>544</v>
      </c>
      <c r="C106" s="117">
        <v>0</v>
      </c>
      <c r="D106" s="117">
        <f t="shared" si="1"/>
        <v>4.2299999999999997E-2</v>
      </c>
      <c r="E106" s="489">
        <v>0</v>
      </c>
      <c r="F106" s="490">
        <v>0.125</v>
      </c>
    </row>
    <row r="107" spans="1:6" ht="16">
      <c r="A107" s="475" t="s">
        <v>285</v>
      </c>
      <c r="B107" s="479" t="s">
        <v>553</v>
      </c>
      <c r="C107" s="117">
        <v>7.1999999999999998E-3</v>
      </c>
      <c r="D107" s="117">
        <f t="shared" si="1"/>
        <v>5.33E-2</v>
      </c>
      <c r="E107" s="489">
        <v>1.0999999999999999E-2</v>
      </c>
      <c r="F107" s="490">
        <v>0.15</v>
      </c>
    </row>
    <row r="108" spans="1:6" ht="16">
      <c r="A108" s="475" t="s">
        <v>286</v>
      </c>
      <c r="B108" s="479" t="s">
        <v>544</v>
      </c>
      <c r="C108" s="117">
        <v>0</v>
      </c>
      <c r="D108" s="117">
        <f t="shared" si="1"/>
        <v>4.2299999999999997E-2</v>
      </c>
      <c r="E108" s="489">
        <v>0</v>
      </c>
      <c r="F108" s="490">
        <v>0.24940000000000001</v>
      </c>
    </row>
    <row r="109" spans="1:6" ht="16">
      <c r="A109" s="475" t="s">
        <v>872</v>
      </c>
      <c r="B109" s="479" t="s">
        <v>550</v>
      </c>
      <c r="C109" s="123">
        <v>5.1000000000000004E-3</v>
      </c>
      <c r="D109" s="117">
        <f t="shared" si="1"/>
        <v>5.0099999999999999E-2</v>
      </c>
      <c r="E109" s="489">
        <v>7.7999999999999996E-3</v>
      </c>
      <c r="F109" s="490">
        <v>0.25</v>
      </c>
    </row>
    <row r="110" spans="1:6" ht="16">
      <c r="A110" s="475" t="s">
        <v>287</v>
      </c>
      <c r="B110" s="479" t="s">
        <v>548</v>
      </c>
      <c r="C110" s="117">
        <v>3.0599999999999999E-2</v>
      </c>
      <c r="D110" s="117">
        <f t="shared" si="1"/>
        <v>8.8900000000000007E-2</v>
      </c>
      <c r="E110" s="489">
        <v>4.6600000000000003E-2</v>
      </c>
      <c r="F110" s="490">
        <v>0.1</v>
      </c>
    </row>
    <row r="111" spans="1:6" ht="16">
      <c r="A111" s="487" t="s">
        <v>568</v>
      </c>
      <c r="B111" s="479" t="s">
        <v>635</v>
      </c>
      <c r="C111" s="117">
        <v>5.5199999999999999E-2</v>
      </c>
      <c r="D111" s="117">
        <f t="shared" si="1"/>
        <v>0.12639999999999998</v>
      </c>
      <c r="E111" s="489">
        <v>8.4099999999999994E-2</v>
      </c>
      <c r="F111" s="490">
        <v>0.1265</v>
      </c>
    </row>
    <row r="112" spans="1:6" ht="16">
      <c r="A112" s="486" t="s">
        <v>569</v>
      </c>
      <c r="B112" s="479" t="s">
        <v>635</v>
      </c>
      <c r="C112" s="117">
        <v>8.5000000000000006E-2</v>
      </c>
      <c r="D112" s="117">
        <f t="shared" si="1"/>
        <v>0.17180000000000001</v>
      </c>
      <c r="E112" s="489">
        <v>0.1295</v>
      </c>
      <c r="F112" s="490">
        <v>0.1719</v>
      </c>
    </row>
    <row r="113" spans="1:6" ht="16">
      <c r="A113" s="475" t="s">
        <v>288</v>
      </c>
      <c r="B113" s="479" t="s">
        <v>557</v>
      </c>
      <c r="C113" s="117">
        <v>1.0200000000000001E-2</v>
      </c>
      <c r="D113" s="117">
        <f t="shared" si="1"/>
        <v>5.7799999999999997E-2</v>
      </c>
      <c r="E113" s="489">
        <v>1.55E-2</v>
      </c>
      <c r="F113" s="490">
        <v>0.24</v>
      </c>
    </row>
    <row r="114" spans="1:6" ht="16">
      <c r="A114" s="475" t="s">
        <v>625</v>
      </c>
      <c r="B114" s="479" t="s">
        <v>556</v>
      </c>
      <c r="C114" s="117">
        <v>7.6499999999999999E-2</v>
      </c>
      <c r="D114" s="117">
        <f t="shared" si="1"/>
        <v>0.15889999999999999</v>
      </c>
      <c r="E114" s="489">
        <v>0.1166</v>
      </c>
      <c r="F114" s="490">
        <v>0.15</v>
      </c>
    </row>
    <row r="115" spans="1:6" ht="16">
      <c r="A115" s="475" t="s">
        <v>570</v>
      </c>
      <c r="B115" s="479" t="s">
        <v>556</v>
      </c>
      <c r="C115" s="117">
        <v>7.6499999999999999E-2</v>
      </c>
      <c r="D115" s="117">
        <f t="shared" si="1"/>
        <v>0.15889999999999999</v>
      </c>
      <c r="E115" s="489">
        <v>0.1166</v>
      </c>
      <c r="F115" s="490">
        <v>0.3</v>
      </c>
    </row>
    <row r="116" spans="1:6" ht="16">
      <c r="A116" s="475" t="s">
        <v>289</v>
      </c>
      <c r="B116" s="479" t="s">
        <v>553</v>
      </c>
      <c r="C116" s="117">
        <v>7.1999999999999998E-3</v>
      </c>
      <c r="D116" s="117">
        <f t="shared" si="1"/>
        <v>5.33E-2</v>
      </c>
      <c r="E116" s="489">
        <v>1.0999999999999999E-2</v>
      </c>
      <c r="F116" s="490">
        <v>0.35</v>
      </c>
    </row>
    <row r="117" spans="1:6" ht="16">
      <c r="A117" s="475" t="s">
        <v>873</v>
      </c>
      <c r="B117" s="479" t="s">
        <v>635</v>
      </c>
      <c r="C117" s="117">
        <v>4.9151830261848689E-2</v>
      </c>
      <c r="D117" s="117">
        <f t="shared" si="1"/>
        <v>0.117176823349771</v>
      </c>
      <c r="E117" s="489">
        <v>7.4876823349770999E-2</v>
      </c>
      <c r="F117" s="490">
        <v>0.26526547543374851</v>
      </c>
    </row>
    <row r="118" spans="1:6" ht="16">
      <c r="A118" s="475" t="s">
        <v>290</v>
      </c>
      <c r="B118" s="479" t="s">
        <v>547</v>
      </c>
      <c r="C118" s="117">
        <v>1.8700000000000001E-2</v>
      </c>
      <c r="D118" s="117">
        <f t="shared" si="1"/>
        <v>7.0800000000000002E-2</v>
      </c>
      <c r="E118" s="489">
        <v>2.8500000000000001E-2</v>
      </c>
      <c r="F118" s="490">
        <v>0.15</v>
      </c>
    </row>
    <row r="119" spans="1:6" ht="16">
      <c r="A119" s="475" t="s">
        <v>291</v>
      </c>
      <c r="B119" s="479" t="s">
        <v>541</v>
      </c>
      <c r="C119" s="117">
        <v>1.6199999999999999E-2</v>
      </c>
      <c r="D119" s="117">
        <f t="shared" si="1"/>
        <v>6.6900000000000001E-2</v>
      </c>
      <c r="E119" s="489">
        <v>2.46E-2</v>
      </c>
      <c r="F119" s="490">
        <v>0.3</v>
      </c>
    </row>
    <row r="120" spans="1:6" ht="16">
      <c r="A120" s="475" t="s">
        <v>349</v>
      </c>
      <c r="B120" s="479" t="s">
        <v>551</v>
      </c>
      <c r="C120" s="117">
        <v>5.5199999999999999E-2</v>
      </c>
      <c r="D120" s="117">
        <f t="shared" si="1"/>
        <v>0.12639999999999998</v>
      </c>
      <c r="E120" s="489">
        <v>8.4099999999999994E-2</v>
      </c>
      <c r="F120" s="490">
        <v>0.12</v>
      </c>
    </row>
    <row r="121" spans="1:6" ht="16">
      <c r="A121" s="475" t="s">
        <v>874</v>
      </c>
      <c r="B121" s="479" t="s">
        <v>635</v>
      </c>
      <c r="C121" s="117">
        <v>0</v>
      </c>
      <c r="D121" s="117">
        <f t="shared" si="1"/>
        <v>4.2299999999999997E-2</v>
      </c>
      <c r="E121" s="489">
        <v>0</v>
      </c>
      <c r="F121" s="490">
        <v>0.2</v>
      </c>
    </row>
    <row r="122" spans="1:6" ht="16">
      <c r="A122" s="475" t="s">
        <v>350</v>
      </c>
      <c r="B122" s="479" t="s">
        <v>539</v>
      </c>
      <c r="C122" s="117">
        <v>3.8300000000000001E-2</v>
      </c>
      <c r="D122" s="117">
        <f t="shared" si="1"/>
        <v>0.10059999999999999</v>
      </c>
      <c r="E122" s="489">
        <v>5.8299999999999998E-2</v>
      </c>
      <c r="F122" s="490">
        <v>0.25</v>
      </c>
    </row>
    <row r="123" spans="1:6" ht="16">
      <c r="A123" s="475" t="s">
        <v>292</v>
      </c>
      <c r="B123" s="479" t="s">
        <v>539</v>
      </c>
      <c r="C123" s="117">
        <v>3.8300000000000001E-2</v>
      </c>
      <c r="D123" s="117">
        <f t="shared" si="1"/>
        <v>0.10059999999999999</v>
      </c>
      <c r="E123" s="489">
        <v>5.8299999999999998E-2</v>
      </c>
      <c r="F123" s="490">
        <v>0.15</v>
      </c>
    </row>
    <row r="124" spans="1:6" ht="16">
      <c r="A124" s="475" t="s">
        <v>463</v>
      </c>
      <c r="B124" s="479" t="s">
        <v>547</v>
      </c>
      <c r="C124" s="117">
        <v>1.8700000000000001E-2</v>
      </c>
      <c r="D124" s="117">
        <f t="shared" si="1"/>
        <v>7.0800000000000002E-2</v>
      </c>
      <c r="E124" s="489">
        <v>2.8500000000000001E-2</v>
      </c>
      <c r="F124" s="490">
        <v>0.3</v>
      </c>
    </row>
    <row r="125" spans="1:6" ht="16">
      <c r="A125" s="475" t="s">
        <v>351</v>
      </c>
      <c r="B125" s="479" t="s">
        <v>559</v>
      </c>
      <c r="C125" s="117">
        <v>2.1299999999999999E-2</v>
      </c>
      <c r="D125" s="117">
        <f t="shared" si="1"/>
        <v>7.4699999999999989E-2</v>
      </c>
      <c r="E125" s="489">
        <v>3.2399999999999998E-2</v>
      </c>
      <c r="F125" s="490">
        <v>0.33</v>
      </c>
    </row>
    <row r="126" spans="1:6" ht="16">
      <c r="A126" s="475" t="s">
        <v>293</v>
      </c>
      <c r="B126" s="479" t="s">
        <v>604</v>
      </c>
      <c r="C126" s="117">
        <v>8.5000000000000006E-2</v>
      </c>
      <c r="D126" s="117">
        <f t="shared" si="1"/>
        <v>0.17180000000000001</v>
      </c>
      <c r="E126" s="489">
        <v>0.1295</v>
      </c>
      <c r="F126" s="490">
        <v>0.32</v>
      </c>
    </row>
    <row r="127" spans="1:6" ht="16">
      <c r="A127" s="487" t="s">
        <v>571</v>
      </c>
      <c r="B127" s="479" t="s">
        <v>635</v>
      </c>
      <c r="C127" s="117">
        <v>0.10199999999999999</v>
      </c>
      <c r="D127" s="117">
        <f t="shared" si="1"/>
        <v>0.19770000000000001</v>
      </c>
      <c r="E127" s="489">
        <v>0.15540000000000001</v>
      </c>
      <c r="F127" s="490">
        <v>0.1978</v>
      </c>
    </row>
    <row r="128" spans="1:6" ht="16">
      <c r="A128" s="475" t="s">
        <v>294</v>
      </c>
      <c r="B128" s="479" t="s">
        <v>539</v>
      </c>
      <c r="C128" s="117">
        <v>3.8300000000000001E-2</v>
      </c>
      <c r="D128" s="117">
        <f t="shared" si="1"/>
        <v>0.10059999999999999</v>
      </c>
      <c r="E128" s="489">
        <v>5.8299999999999998E-2</v>
      </c>
      <c r="F128" s="490">
        <v>0.32</v>
      </c>
    </row>
    <row r="129" spans="1:6" ht="16">
      <c r="A129" s="477" t="s">
        <v>973</v>
      </c>
      <c r="B129" s="479" t="s">
        <v>548</v>
      </c>
      <c r="C129" s="117">
        <v>3.0599999999999999E-2</v>
      </c>
      <c r="D129" s="117">
        <f t="shared" si="1"/>
        <v>8.8900000000000007E-2</v>
      </c>
      <c r="E129" s="489">
        <v>4.6600000000000003E-2</v>
      </c>
      <c r="F129" s="490">
        <v>0.25</v>
      </c>
    </row>
    <row r="130" spans="1:6" ht="16">
      <c r="A130" s="475" t="s">
        <v>295</v>
      </c>
      <c r="B130" s="479" t="s">
        <v>544</v>
      </c>
      <c r="C130" s="117">
        <v>0</v>
      </c>
      <c r="D130" s="117">
        <f t="shared" si="1"/>
        <v>4.2299999999999997E-2</v>
      </c>
      <c r="E130" s="489">
        <v>0</v>
      </c>
      <c r="F130" s="490">
        <v>0.25800000000000001</v>
      </c>
    </row>
    <row r="131" spans="1:6" ht="16">
      <c r="A131" s="475" t="s">
        <v>875</v>
      </c>
      <c r="B131" s="479" t="s">
        <v>635</v>
      </c>
      <c r="C131" s="117">
        <v>4.9151830261848689E-2</v>
      </c>
      <c r="D131" s="117">
        <f t="shared" si="1"/>
        <v>0.117176823349771</v>
      </c>
      <c r="E131" s="489">
        <v>7.4876823349770999E-2</v>
      </c>
      <c r="F131" s="490">
        <v>0.26526547543374851</v>
      </c>
    </row>
    <row r="132" spans="1:6" ht="16">
      <c r="A132" s="475" t="s">
        <v>296</v>
      </c>
      <c r="B132" s="479" t="s">
        <v>544</v>
      </c>
      <c r="C132" s="117">
        <v>0</v>
      </c>
      <c r="D132" s="117">
        <f t="shared" si="1"/>
        <v>4.2299999999999997E-2</v>
      </c>
      <c r="E132" s="489">
        <v>0</v>
      </c>
      <c r="F132" s="490">
        <v>0.28000000000000003</v>
      </c>
    </row>
    <row r="133" spans="1:6" ht="16">
      <c r="A133" s="475" t="s">
        <v>352</v>
      </c>
      <c r="B133" s="479" t="s">
        <v>542</v>
      </c>
      <c r="C133" s="117">
        <v>4.6699999999999998E-2</v>
      </c>
      <c r="D133" s="117">
        <f t="shared" si="1"/>
        <v>0.11349999999999999</v>
      </c>
      <c r="E133" s="489">
        <v>7.1199999999999999E-2</v>
      </c>
      <c r="F133" s="490">
        <v>0.3</v>
      </c>
    </row>
    <row r="134" spans="1:6" ht="16">
      <c r="A134" s="475" t="s">
        <v>572</v>
      </c>
      <c r="B134" s="479" t="s">
        <v>604</v>
      </c>
      <c r="C134" s="117">
        <v>8.5000000000000006E-2</v>
      </c>
      <c r="D134" s="117">
        <f t="shared" ref="D134:D196" si="2">$B$1+E134</f>
        <v>0.17180000000000001</v>
      </c>
      <c r="E134" s="489">
        <v>0.1295</v>
      </c>
      <c r="F134" s="490">
        <v>0.3</v>
      </c>
    </row>
    <row r="135" spans="1:6" ht="16">
      <c r="A135" s="475" t="s">
        <v>297</v>
      </c>
      <c r="B135" s="479" t="s">
        <v>551</v>
      </c>
      <c r="C135" s="117">
        <v>5.5199999999999999E-2</v>
      </c>
      <c r="D135" s="117">
        <f t="shared" si="2"/>
        <v>0.12639999999999998</v>
      </c>
      <c r="E135" s="489">
        <v>8.4099999999999994E-2</v>
      </c>
      <c r="F135" s="490">
        <v>0.3</v>
      </c>
    </row>
    <row r="136" spans="1:6" ht="16">
      <c r="A136" s="475" t="s">
        <v>298</v>
      </c>
      <c r="B136" s="479" t="s">
        <v>544</v>
      </c>
      <c r="C136" s="117">
        <v>0</v>
      </c>
      <c r="D136" s="117">
        <f t="shared" si="2"/>
        <v>4.2299999999999997E-2</v>
      </c>
      <c r="E136" s="489">
        <v>0</v>
      </c>
      <c r="F136" s="490">
        <v>0.22</v>
      </c>
    </row>
    <row r="137" spans="1:6" ht="16">
      <c r="A137" s="475" t="s">
        <v>299</v>
      </c>
      <c r="B137" s="479" t="s">
        <v>547</v>
      </c>
      <c r="C137" s="117">
        <v>1.8700000000000001E-2</v>
      </c>
      <c r="D137" s="117">
        <f t="shared" si="2"/>
        <v>7.0800000000000002E-2</v>
      </c>
      <c r="E137" s="489">
        <v>2.8500000000000001E-2</v>
      </c>
      <c r="F137" s="490">
        <v>0.15</v>
      </c>
    </row>
    <row r="138" spans="1:6" ht="16">
      <c r="A138" s="475" t="s">
        <v>300</v>
      </c>
      <c r="B138" s="479" t="s">
        <v>549</v>
      </c>
      <c r="C138" s="117">
        <v>6.3700000000000007E-2</v>
      </c>
      <c r="D138" s="117">
        <f t="shared" si="2"/>
        <v>0.1394</v>
      </c>
      <c r="E138" s="489">
        <v>9.7100000000000006E-2</v>
      </c>
      <c r="F138" s="490">
        <v>0.28999999999999998</v>
      </c>
    </row>
    <row r="139" spans="1:6" ht="16">
      <c r="A139" s="475" t="s">
        <v>876</v>
      </c>
      <c r="B139" s="479" t="s">
        <v>635</v>
      </c>
      <c r="C139" s="117">
        <v>1.3172608945359637E-2</v>
      </c>
      <c r="D139" s="117">
        <f t="shared" si="2"/>
        <v>6.2366864403681901E-2</v>
      </c>
      <c r="E139" s="489">
        <v>2.0066864403681904E-2</v>
      </c>
      <c r="F139" s="490">
        <v>0.16120225505978519</v>
      </c>
    </row>
    <row r="140" spans="1:6" ht="16">
      <c r="A140" s="475" t="s">
        <v>301</v>
      </c>
      <c r="B140" s="479" t="s">
        <v>547</v>
      </c>
      <c r="C140" s="117">
        <v>1.8700000000000001E-2</v>
      </c>
      <c r="D140" s="117">
        <f t="shared" si="2"/>
        <v>7.0800000000000002E-2</v>
      </c>
      <c r="E140" s="489">
        <v>2.8500000000000001E-2</v>
      </c>
      <c r="F140" s="490">
        <v>0.25</v>
      </c>
    </row>
    <row r="141" spans="1:6" ht="16">
      <c r="A141" s="475" t="s">
        <v>302</v>
      </c>
      <c r="B141" s="479" t="s">
        <v>542</v>
      </c>
      <c r="C141" s="117">
        <v>4.6699999999999998E-2</v>
      </c>
      <c r="D141" s="117">
        <f t="shared" si="2"/>
        <v>0.11349999999999999</v>
      </c>
      <c r="E141" s="489">
        <v>7.1199999999999999E-2</v>
      </c>
      <c r="F141" s="490">
        <v>0.3</v>
      </c>
    </row>
    <row r="142" spans="1:6" ht="16">
      <c r="A142" s="475" t="s">
        <v>303</v>
      </c>
      <c r="B142" s="479" t="s">
        <v>547</v>
      </c>
      <c r="C142" s="117">
        <v>1.8700000000000001E-2</v>
      </c>
      <c r="D142" s="117">
        <f t="shared" si="2"/>
        <v>7.0800000000000002E-2</v>
      </c>
      <c r="E142" s="489">
        <v>2.8500000000000001E-2</v>
      </c>
      <c r="F142" s="490">
        <v>0.1</v>
      </c>
    </row>
    <row r="143" spans="1:6" ht="16">
      <c r="A143" s="475" t="s">
        <v>304</v>
      </c>
      <c r="B143" s="479" t="s">
        <v>543</v>
      </c>
      <c r="C143" s="117">
        <v>1.3599999999999999E-2</v>
      </c>
      <c r="D143" s="117">
        <f t="shared" si="2"/>
        <v>6.3E-2</v>
      </c>
      <c r="E143" s="489">
        <v>2.07E-2</v>
      </c>
      <c r="F143" s="490">
        <v>0.29499999999999998</v>
      </c>
    </row>
    <row r="144" spans="1:6" ht="16">
      <c r="A144" s="475" t="s">
        <v>305</v>
      </c>
      <c r="B144" s="479" t="s">
        <v>541</v>
      </c>
      <c r="C144" s="117">
        <v>1.6199999999999999E-2</v>
      </c>
      <c r="D144" s="117">
        <f t="shared" si="2"/>
        <v>6.6900000000000001E-2</v>
      </c>
      <c r="E144" s="489">
        <v>2.46E-2</v>
      </c>
      <c r="F144" s="490">
        <v>0.25</v>
      </c>
    </row>
    <row r="145" spans="1:6" ht="16">
      <c r="A145" s="475" t="s">
        <v>306</v>
      </c>
      <c r="B145" s="479" t="s">
        <v>553</v>
      </c>
      <c r="C145" s="117">
        <v>7.1999999999999998E-3</v>
      </c>
      <c r="D145" s="117">
        <f t="shared" si="2"/>
        <v>5.33E-2</v>
      </c>
      <c r="E145" s="489">
        <v>1.0999999999999999E-2</v>
      </c>
      <c r="F145" s="490">
        <v>0.19</v>
      </c>
    </row>
    <row r="146" spans="1:6" ht="16">
      <c r="A146" s="475" t="s">
        <v>307</v>
      </c>
      <c r="B146" s="479" t="s">
        <v>557</v>
      </c>
      <c r="C146" s="117">
        <v>1.0200000000000001E-2</v>
      </c>
      <c r="D146" s="117">
        <f t="shared" si="2"/>
        <v>5.7799999999999997E-2</v>
      </c>
      <c r="E146" s="489">
        <v>1.55E-2</v>
      </c>
      <c r="F146" s="490">
        <v>0.315</v>
      </c>
    </row>
    <row r="147" spans="1:6" ht="16">
      <c r="A147" s="475" t="s">
        <v>308</v>
      </c>
      <c r="B147" s="479" t="s">
        <v>538</v>
      </c>
      <c r="C147" s="117">
        <v>4.1999999999999997E-3</v>
      </c>
      <c r="D147" s="117">
        <f t="shared" si="2"/>
        <v>4.87E-2</v>
      </c>
      <c r="E147" s="489">
        <v>6.4000000000000003E-3</v>
      </c>
      <c r="F147" s="490">
        <v>0.1</v>
      </c>
    </row>
    <row r="148" spans="1:6" ht="16">
      <c r="A148" s="475" t="s">
        <v>477</v>
      </c>
      <c r="B148" s="479" t="s">
        <v>557</v>
      </c>
      <c r="C148" s="117">
        <v>1.0200000000000001E-2</v>
      </c>
      <c r="D148" s="117">
        <f t="shared" si="2"/>
        <v>5.7799999999999997E-2</v>
      </c>
      <c r="E148" s="489">
        <v>1.55E-2</v>
      </c>
      <c r="F148" s="490">
        <v>0.18940000000000001</v>
      </c>
    </row>
    <row r="149" spans="1:6" ht="16">
      <c r="A149" s="475" t="s">
        <v>877</v>
      </c>
      <c r="B149" s="479" t="s">
        <v>635</v>
      </c>
      <c r="C149" s="117">
        <v>5.0672304468171489E-2</v>
      </c>
      <c r="D149" s="117">
        <f t="shared" si="2"/>
        <v>0.11949308050536839</v>
      </c>
      <c r="E149" s="489">
        <v>7.7193080505368383E-2</v>
      </c>
      <c r="F149" s="490">
        <v>0.27390173905276305</v>
      </c>
    </row>
    <row r="150" spans="1:6" ht="16">
      <c r="A150" s="475" t="s">
        <v>309</v>
      </c>
      <c r="B150" s="479" t="s">
        <v>547</v>
      </c>
      <c r="C150" s="117">
        <v>1.8700000000000001E-2</v>
      </c>
      <c r="D150" s="117">
        <f t="shared" si="2"/>
        <v>7.0800000000000002E-2</v>
      </c>
      <c r="E150" s="489">
        <v>2.8500000000000001E-2</v>
      </c>
      <c r="F150" s="490">
        <v>0.16</v>
      </c>
    </row>
    <row r="151" spans="1:6" ht="16">
      <c r="A151" s="475" t="s">
        <v>310</v>
      </c>
      <c r="B151" s="479" t="s">
        <v>635</v>
      </c>
      <c r="C151" s="117">
        <v>2.5600000000000001E-2</v>
      </c>
      <c r="D151" s="117">
        <f t="shared" si="2"/>
        <v>8.1299999999999997E-2</v>
      </c>
      <c r="E151" s="489">
        <v>3.9E-2</v>
      </c>
      <c r="F151" s="490">
        <v>8.14E-2</v>
      </c>
    </row>
    <row r="152" spans="1:6" ht="16">
      <c r="A152" s="475" t="s">
        <v>464</v>
      </c>
      <c r="B152" s="479" t="s">
        <v>542</v>
      </c>
      <c r="C152" s="117">
        <v>4.6699999999999998E-2</v>
      </c>
      <c r="D152" s="117">
        <f t="shared" si="2"/>
        <v>0.11349999999999999</v>
      </c>
      <c r="E152" s="489">
        <v>7.1199999999999999E-2</v>
      </c>
      <c r="F152" s="490">
        <v>0.28000000000000003</v>
      </c>
    </row>
    <row r="153" spans="1:6" ht="16">
      <c r="A153" s="475" t="s">
        <v>878</v>
      </c>
      <c r="B153" s="479" t="s">
        <v>635</v>
      </c>
      <c r="C153" s="117">
        <v>4.9151830261848689E-2</v>
      </c>
      <c r="D153" s="117">
        <f t="shared" si="2"/>
        <v>0.117176823349771</v>
      </c>
      <c r="E153" s="489">
        <v>7.4876823349770999E-2</v>
      </c>
      <c r="F153" s="490">
        <v>0.26526547543374851</v>
      </c>
    </row>
    <row r="154" spans="1:6" ht="16">
      <c r="A154" s="475" t="s">
        <v>311</v>
      </c>
      <c r="B154" s="479" t="s">
        <v>550</v>
      </c>
      <c r="C154" s="117">
        <v>5.1000000000000004E-3</v>
      </c>
      <c r="D154" s="117">
        <f t="shared" si="2"/>
        <v>5.0099999999999999E-2</v>
      </c>
      <c r="E154" s="489">
        <v>7.7999999999999996E-3</v>
      </c>
      <c r="F154" s="490">
        <v>0.2</v>
      </c>
    </row>
    <row r="155" spans="1:6" ht="16">
      <c r="A155" s="475" t="s">
        <v>353</v>
      </c>
      <c r="B155" s="479" t="s">
        <v>549</v>
      </c>
      <c r="C155" s="117">
        <v>6.3700000000000007E-2</v>
      </c>
      <c r="D155" s="117">
        <f t="shared" si="2"/>
        <v>0.1394</v>
      </c>
      <c r="E155" s="489">
        <v>9.7100000000000006E-2</v>
      </c>
      <c r="F155" s="490">
        <v>0.3</v>
      </c>
    </row>
    <row r="156" spans="1:6" ht="16">
      <c r="A156" s="475" t="s">
        <v>312</v>
      </c>
      <c r="B156" s="479" t="s">
        <v>546</v>
      </c>
      <c r="C156" s="117">
        <v>2.5600000000000001E-2</v>
      </c>
      <c r="D156" s="117">
        <f t="shared" si="2"/>
        <v>8.1299999999999997E-2</v>
      </c>
      <c r="E156" s="489">
        <v>3.9E-2</v>
      </c>
      <c r="F156" s="490">
        <v>0.15</v>
      </c>
    </row>
    <row r="157" spans="1:6" ht="16">
      <c r="A157" s="475" t="s">
        <v>478</v>
      </c>
      <c r="B157" s="479" t="s">
        <v>559</v>
      </c>
      <c r="C157" s="117">
        <v>2.1299999999999999E-2</v>
      </c>
      <c r="D157" s="117">
        <f t="shared" si="2"/>
        <v>7.4699999999999989E-2</v>
      </c>
      <c r="E157" s="489">
        <v>3.2399999999999998E-2</v>
      </c>
      <c r="F157" s="490">
        <v>0.18940000000000001</v>
      </c>
    </row>
    <row r="158" spans="1:6" ht="16">
      <c r="A158" s="486" t="s">
        <v>573</v>
      </c>
      <c r="B158" s="479" t="s">
        <v>635</v>
      </c>
      <c r="C158" s="117">
        <v>5.5199999999999999E-2</v>
      </c>
      <c r="D158" s="117">
        <f t="shared" si="2"/>
        <v>0.12639999999999998</v>
      </c>
      <c r="E158" s="489">
        <v>8.4099999999999994E-2</v>
      </c>
      <c r="F158" s="490">
        <v>0.1265</v>
      </c>
    </row>
    <row r="159" spans="1:6" ht="16">
      <c r="A159" s="475" t="s">
        <v>313</v>
      </c>
      <c r="B159" s="479" t="s">
        <v>544</v>
      </c>
      <c r="C159" s="117">
        <v>0</v>
      </c>
      <c r="D159" s="117">
        <f t="shared" si="2"/>
        <v>4.2299999999999997E-2</v>
      </c>
      <c r="E159" s="489">
        <v>0</v>
      </c>
      <c r="F159" s="490">
        <v>0.17</v>
      </c>
    </row>
    <row r="160" spans="1:6" ht="16">
      <c r="A160" s="475" t="s">
        <v>354</v>
      </c>
      <c r="B160" s="479" t="s">
        <v>557</v>
      </c>
      <c r="C160" s="117">
        <v>1.0200000000000001E-2</v>
      </c>
      <c r="D160" s="117">
        <f t="shared" si="2"/>
        <v>5.7799999999999997E-2</v>
      </c>
      <c r="E160" s="489">
        <v>1.55E-2</v>
      </c>
      <c r="F160" s="490">
        <v>0.21</v>
      </c>
    </row>
    <row r="161" spans="1:6" ht="16">
      <c r="A161" s="475" t="s">
        <v>314</v>
      </c>
      <c r="B161" s="479" t="s">
        <v>557</v>
      </c>
      <c r="C161" s="117">
        <v>1.0200000000000001E-2</v>
      </c>
      <c r="D161" s="117">
        <f t="shared" si="2"/>
        <v>5.7799999999999997E-2</v>
      </c>
      <c r="E161" s="489">
        <v>1.55E-2</v>
      </c>
      <c r="F161" s="490">
        <v>0.22</v>
      </c>
    </row>
    <row r="162" spans="1:6" ht="16">
      <c r="A162" s="475" t="s">
        <v>574</v>
      </c>
      <c r="B162" s="479" t="s">
        <v>549</v>
      </c>
      <c r="C162" s="117">
        <v>6.3700000000000007E-2</v>
      </c>
      <c r="D162" s="117">
        <f t="shared" si="2"/>
        <v>0.1394</v>
      </c>
      <c r="E162" s="489">
        <v>9.7100000000000006E-2</v>
      </c>
      <c r="F162" s="490">
        <v>0.3</v>
      </c>
    </row>
    <row r="163" spans="1:6" ht="16">
      <c r="A163" s="487" t="s">
        <v>575</v>
      </c>
      <c r="B163" s="479" t="s">
        <v>635</v>
      </c>
      <c r="C163" s="117">
        <v>8.5000000000000006E-2</v>
      </c>
      <c r="D163" s="117">
        <f t="shared" si="2"/>
        <v>0.17180000000000001</v>
      </c>
      <c r="E163" s="489">
        <v>0.1295</v>
      </c>
      <c r="F163" s="490">
        <v>0.1719</v>
      </c>
    </row>
    <row r="164" spans="1:6" ht="16">
      <c r="A164" s="475" t="s">
        <v>315</v>
      </c>
      <c r="B164" s="479" t="s">
        <v>546</v>
      </c>
      <c r="C164" s="123">
        <v>2.5600000000000001E-2</v>
      </c>
      <c r="D164" s="117">
        <f t="shared" si="2"/>
        <v>8.1299999999999997E-2</v>
      </c>
      <c r="E164" s="489">
        <v>3.9E-2</v>
      </c>
      <c r="F164" s="490">
        <v>0.27</v>
      </c>
    </row>
    <row r="165" spans="1:6" ht="16">
      <c r="A165" s="475" t="s">
        <v>879</v>
      </c>
      <c r="B165" s="479" t="s">
        <v>538</v>
      </c>
      <c r="C165" s="117">
        <v>4.1999999999999997E-3</v>
      </c>
      <c r="D165" s="117">
        <f t="shared" si="2"/>
        <v>4.87E-2</v>
      </c>
      <c r="E165" s="489">
        <v>6.4000000000000003E-3</v>
      </c>
      <c r="F165" s="490">
        <v>0.26400000000000001</v>
      </c>
    </row>
    <row r="166" spans="1:6" ht="16">
      <c r="A166" s="475" t="s">
        <v>316</v>
      </c>
      <c r="B166" s="479" t="s">
        <v>557</v>
      </c>
      <c r="C166" s="117">
        <v>1.0200000000000001E-2</v>
      </c>
      <c r="D166" s="117">
        <f t="shared" si="2"/>
        <v>5.7799999999999997E-2</v>
      </c>
      <c r="E166" s="489">
        <v>1.55E-2</v>
      </c>
      <c r="F166" s="490">
        <v>0.25</v>
      </c>
    </row>
    <row r="167" spans="1:6" ht="16">
      <c r="A167" s="475" t="s">
        <v>317</v>
      </c>
      <c r="B167" s="479" t="s">
        <v>603</v>
      </c>
      <c r="C167" s="117">
        <v>0.10199999999999999</v>
      </c>
      <c r="D167" s="117">
        <f t="shared" si="2"/>
        <v>0.19770000000000001</v>
      </c>
      <c r="E167" s="489">
        <v>0.15540000000000001</v>
      </c>
      <c r="F167" s="490">
        <v>0.3</v>
      </c>
    </row>
    <row r="168" spans="1:6" ht="16">
      <c r="A168" s="475" t="s">
        <v>405</v>
      </c>
      <c r="B168" s="479" t="s">
        <v>546</v>
      </c>
      <c r="C168" s="117">
        <v>2.5600000000000001E-2</v>
      </c>
      <c r="D168" s="117">
        <f t="shared" si="2"/>
        <v>8.1299999999999997E-2</v>
      </c>
      <c r="E168" s="489">
        <v>3.9E-2</v>
      </c>
      <c r="F168" s="490">
        <v>0.2</v>
      </c>
    </row>
    <row r="169" spans="1:6" ht="16">
      <c r="A169" s="475" t="s">
        <v>355</v>
      </c>
      <c r="B169" s="479" t="s">
        <v>551</v>
      </c>
      <c r="C169" s="117">
        <v>5.5199999999999999E-2</v>
      </c>
      <c r="D169" s="117">
        <f t="shared" si="2"/>
        <v>0.12639999999999998</v>
      </c>
      <c r="E169" s="489">
        <v>8.4099999999999994E-2</v>
      </c>
      <c r="F169" s="490">
        <v>0.28000000000000003</v>
      </c>
    </row>
    <row r="170" spans="1:6" ht="16">
      <c r="A170" s="486" t="s">
        <v>576</v>
      </c>
      <c r="B170" s="479" t="s">
        <v>635</v>
      </c>
      <c r="C170" s="117">
        <v>0.17499999999999999</v>
      </c>
      <c r="D170" s="117">
        <f t="shared" si="2"/>
        <v>0.30890000000000001</v>
      </c>
      <c r="E170" s="489">
        <v>0.2666</v>
      </c>
      <c r="F170" s="490">
        <v>0.309</v>
      </c>
    </row>
    <row r="171" spans="1:6" ht="16">
      <c r="A171" s="475" t="s">
        <v>356</v>
      </c>
      <c r="B171" s="479" t="s">
        <v>549</v>
      </c>
      <c r="C171" s="117">
        <v>6.3700000000000007E-2</v>
      </c>
      <c r="D171" s="117">
        <f t="shared" si="2"/>
        <v>0.1394</v>
      </c>
      <c r="E171" s="489">
        <v>9.7100000000000006E-2</v>
      </c>
      <c r="F171" s="490">
        <v>0.36</v>
      </c>
    </row>
    <row r="172" spans="1:6" ht="16">
      <c r="A172" s="475" t="s">
        <v>577</v>
      </c>
      <c r="B172" s="479" t="s">
        <v>542</v>
      </c>
      <c r="C172" s="117">
        <v>4.6699999999999998E-2</v>
      </c>
      <c r="D172" s="117">
        <f t="shared" si="2"/>
        <v>0.11349999999999999</v>
      </c>
      <c r="E172" s="489">
        <v>7.1199999999999999E-2</v>
      </c>
      <c r="F172" s="490">
        <v>0.25</v>
      </c>
    </row>
    <row r="173" spans="1:6" ht="16">
      <c r="A173" s="475" t="s">
        <v>318</v>
      </c>
      <c r="B173" s="479" t="s">
        <v>544</v>
      </c>
      <c r="C173" s="117">
        <v>0</v>
      </c>
      <c r="D173" s="117">
        <f t="shared" si="2"/>
        <v>4.2299999999999997E-2</v>
      </c>
      <c r="E173" s="489">
        <v>0</v>
      </c>
      <c r="F173" s="490">
        <v>0.20599999999999999</v>
      </c>
    </row>
    <row r="174" spans="1:6" ht="16">
      <c r="A174" s="475" t="s">
        <v>319</v>
      </c>
      <c r="B174" s="479" t="s">
        <v>544</v>
      </c>
      <c r="C174" s="117">
        <v>0</v>
      </c>
      <c r="D174" s="117">
        <f t="shared" si="2"/>
        <v>4.2299999999999997E-2</v>
      </c>
      <c r="E174" s="489">
        <v>0</v>
      </c>
      <c r="F174" s="490">
        <v>0.1961</v>
      </c>
    </row>
    <row r="175" spans="1:6" ht="16">
      <c r="A175" s="487" t="s">
        <v>578</v>
      </c>
      <c r="B175" s="479" t="s">
        <v>635</v>
      </c>
      <c r="C175" s="117">
        <v>0.10199999999999999</v>
      </c>
      <c r="D175" s="117">
        <f t="shared" si="2"/>
        <v>0.19770000000000001</v>
      </c>
      <c r="E175" s="489">
        <v>0.15540000000000001</v>
      </c>
      <c r="F175" s="490">
        <v>0.1978</v>
      </c>
    </row>
    <row r="176" spans="1:6" ht="16">
      <c r="A176" s="475" t="s">
        <v>320</v>
      </c>
      <c r="B176" s="479" t="s">
        <v>550</v>
      </c>
      <c r="C176" s="117">
        <v>5.1000000000000004E-3</v>
      </c>
      <c r="D176" s="117">
        <f t="shared" si="2"/>
        <v>5.0099999999999999E-2</v>
      </c>
      <c r="E176" s="489">
        <v>7.7999999999999996E-3</v>
      </c>
      <c r="F176" s="490">
        <v>0.2</v>
      </c>
    </row>
    <row r="177" spans="1:6" ht="16">
      <c r="A177" s="475" t="s">
        <v>579</v>
      </c>
      <c r="B177" s="479" t="s">
        <v>551</v>
      </c>
      <c r="C177" s="117">
        <v>5.5199999999999999E-2</v>
      </c>
      <c r="D177" s="117">
        <f t="shared" si="2"/>
        <v>0.12639999999999998</v>
      </c>
      <c r="E177" s="489">
        <v>8.4099999999999994E-2</v>
      </c>
      <c r="F177" s="490">
        <v>0.18</v>
      </c>
    </row>
    <row r="178" spans="1:6" ht="16">
      <c r="A178" s="475" t="s">
        <v>580</v>
      </c>
      <c r="B178" s="479" t="s">
        <v>539</v>
      </c>
      <c r="C178" s="117">
        <v>3.8300000000000001E-2</v>
      </c>
      <c r="D178" s="117">
        <f t="shared" si="2"/>
        <v>0.10059999999999999</v>
      </c>
      <c r="E178" s="489">
        <v>5.8299999999999998E-2</v>
      </c>
      <c r="F178" s="490">
        <v>0.3</v>
      </c>
    </row>
    <row r="179" spans="1:6" ht="16">
      <c r="A179" s="475" t="s">
        <v>321</v>
      </c>
      <c r="B179" s="479" t="s">
        <v>543</v>
      </c>
      <c r="C179" s="117">
        <v>1.3599999999999999E-2</v>
      </c>
      <c r="D179" s="117">
        <f t="shared" si="2"/>
        <v>6.3E-2</v>
      </c>
      <c r="E179" s="489">
        <v>2.07E-2</v>
      </c>
      <c r="F179" s="490">
        <v>0.2</v>
      </c>
    </row>
    <row r="180" spans="1:6" ht="16">
      <c r="A180" s="475" t="s">
        <v>581</v>
      </c>
      <c r="B180" s="479" t="s">
        <v>551</v>
      </c>
      <c r="C180" s="117">
        <v>5.5199999999999999E-2</v>
      </c>
      <c r="D180" s="117">
        <f t="shared" si="2"/>
        <v>0.12639999999999998</v>
      </c>
      <c r="E180" s="489">
        <v>8.4099999999999994E-2</v>
      </c>
      <c r="F180" s="490">
        <v>0.27</v>
      </c>
    </row>
    <row r="181" spans="1:6" ht="16">
      <c r="A181" s="475" t="s">
        <v>974</v>
      </c>
      <c r="B181" s="479" t="s">
        <v>546</v>
      </c>
      <c r="C181" s="117">
        <v>2.5600000000000001E-2</v>
      </c>
      <c r="D181" s="117">
        <f t="shared" si="2"/>
        <v>8.1299999999999997E-2</v>
      </c>
      <c r="E181" s="489">
        <v>3.9E-2</v>
      </c>
      <c r="F181" s="490">
        <v>0.3</v>
      </c>
    </row>
    <row r="182" spans="1:6" ht="16">
      <c r="A182" s="475" t="s">
        <v>322</v>
      </c>
      <c r="B182" s="479" t="s">
        <v>549</v>
      </c>
      <c r="C182" s="117">
        <v>6.3700000000000007E-2</v>
      </c>
      <c r="D182" s="117">
        <f t="shared" si="2"/>
        <v>0.1394</v>
      </c>
      <c r="E182" s="489">
        <v>9.7100000000000006E-2</v>
      </c>
      <c r="F182" s="490">
        <v>0.15</v>
      </c>
    </row>
    <row r="183" spans="1:6" ht="16">
      <c r="A183" s="475" t="s">
        <v>323</v>
      </c>
      <c r="B183" s="479" t="s">
        <v>548</v>
      </c>
      <c r="C183" s="117">
        <v>3.0599999999999999E-2</v>
      </c>
      <c r="D183" s="117">
        <f t="shared" si="2"/>
        <v>8.8900000000000007E-2</v>
      </c>
      <c r="E183" s="489">
        <v>4.6600000000000003E-2</v>
      </c>
      <c r="F183" s="490">
        <v>0.25</v>
      </c>
    </row>
    <row r="184" spans="1:6" ht="16">
      <c r="A184" s="476" t="s">
        <v>880</v>
      </c>
      <c r="B184" s="479" t="s">
        <v>635</v>
      </c>
      <c r="C184" s="117">
        <v>4.9151830261848689E-2</v>
      </c>
      <c r="D184" s="117">
        <f t="shared" si="2"/>
        <v>0.117176823349771</v>
      </c>
      <c r="E184" s="489">
        <v>7.4876823349770999E-2</v>
      </c>
      <c r="F184" s="490">
        <v>0.26526547543374851</v>
      </c>
    </row>
    <row r="185" spans="1:6" ht="16">
      <c r="A185" s="475" t="s">
        <v>406</v>
      </c>
      <c r="B185" s="479" t="s">
        <v>551</v>
      </c>
      <c r="C185" s="117">
        <v>5.5199999999999999E-2</v>
      </c>
      <c r="D185" s="117">
        <f t="shared" si="2"/>
        <v>0.12639999999999998</v>
      </c>
      <c r="E185" s="489">
        <v>8.4099999999999994E-2</v>
      </c>
      <c r="F185" s="490">
        <v>0.3</v>
      </c>
    </row>
    <row r="186" spans="1:6" ht="16">
      <c r="A186" s="475" t="s">
        <v>324</v>
      </c>
      <c r="B186" s="479" t="s">
        <v>603</v>
      </c>
      <c r="C186" s="117">
        <v>0.10199999999999999</v>
      </c>
      <c r="D186" s="117">
        <f t="shared" si="2"/>
        <v>0.19770000000000001</v>
      </c>
      <c r="E186" s="489">
        <v>0.15540000000000001</v>
      </c>
      <c r="F186" s="490">
        <v>0.18</v>
      </c>
    </row>
    <row r="187" spans="1:6" ht="16">
      <c r="A187" s="475" t="s">
        <v>325</v>
      </c>
      <c r="B187" s="479" t="s">
        <v>538</v>
      </c>
      <c r="C187" s="117">
        <v>4.1999999999999997E-3</v>
      </c>
      <c r="D187" s="117">
        <f t="shared" si="2"/>
        <v>4.87E-2</v>
      </c>
      <c r="E187" s="489">
        <v>6.4000000000000003E-3</v>
      </c>
      <c r="F187" s="490">
        <v>0.09</v>
      </c>
    </row>
    <row r="188" spans="1:6" ht="16">
      <c r="A188" s="475" t="s">
        <v>326</v>
      </c>
      <c r="B188" s="479" t="s">
        <v>550</v>
      </c>
      <c r="C188" s="117">
        <v>5.1000000000000004E-3</v>
      </c>
      <c r="D188" s="117">
        <f t="shared" si="2"/>
        <v>5.0099999999999999E-2</v>
      </c>
      <c r="E188" s="489">
        <v>7.7999999999999996E-3</v>
      </c>
      <c r="F188" s="490">
        <v>0.25</v>
      </c>
    </row>
    <row r="189" spans="1:6" ht="16">
      <c r="A189" s="475" t="s">
        <v>327</v>
      </c>
      <c r="B189" s="479" t="s">
        <v>545</v>
      </c>
      <c r="C189" s="117">
        <v>2.3E-3</v>
      </c>
      <c r="D189" s="117">
        <f t="shared" si="2"/>
        <v>4.4600000000000001E-2</v>
      </c>
      <c r="E189" s="489">
        <v>2.3E-3</v>
      </c>
      <c r="F189" s="490">
        <v>0.25</v>
      </c>
    </row>
    <row r="190" spans="1:6" ht="16">
      <c r="A190" s="475" t="s">
        <v>328</v>
      </c>
      <c r="B190" s="479" t="s">
        <v>543</v>
      </c>
      <c r="C190" s="117">
        <v>1.3599999999999999E-2</v>
      </c>
      <c r="D190" s="117">
        <f t="shared" si="2"/>
        <v>6.3E-2</v>
      </c>
      <c r="E190" s="489">
        <v>2.07E-2</v>
      </c>
      <c r="F190" s="490">
        <v>0.25</v>
      </c>
    </row>
    <row r="191" spans="1:6" ht="16">
      <c r="A191" s="475" t="s">
        <v>626</v>
      </c>
      <c r="B191" s="479" t="s">
        <v>548</v>
      </c>
      <c r="C191" s="117">
        <v>3.0599999999999999E-2</v>
      </c>
      <c r="D191" s="117">
        <f t="shared" si="2"/>
        <v>8.8900000000000007E-2</v>
      </c>
      <c r="E191" s="489">
        <v>4.6600000000000003E-2</v>
      </c>
      <c r="F191" s="490">
        <v>0.15</v>
      </c>
    </row>
    <row r="192" spans="1:6" ht="16">
      <c r="A192" s="475" t="s">
        <v>329</v>
      </c>
      <c r="B192" s="479" t="s">
        <v>585</v>
      </c>
      <c r="C192" s="117">
        <v>0.17499999999999999</v>
      </c>
      <c r="D192" s="117">
        <f t="shared" si="2"/>
        <v>0.30890000000000001</v>
      </c>
      <c r="E192" s="489">
        <v>0.2666</v>
      </c>
      <c r="F192" s="490">
        <v>0.34</v>
      </c>
    </row>
    <row r="193" spans="1:6" ht="16">
      <c r="A193" s="475" t="s">
        <v>330</v>
      </c>
      <c r="B193" s="479" t="s">
        <v>546</v>
      </c>
      <c r="C193" s="117">
        <v>2.5600000000000001E-2</v>
      </c>
      <c r="D193" s="117">
        <f t="shared" si="2"/>
        <v>8.1299999999999997E-2</v>
      </c>
      <c r="E193" s="489">
        <v>3.9E-2</v>
      </c>
      <c r="F193" s="490">
        <v>0.2</v>
      </c>
    </row>
    <row r="194" spans="1:6" ht="16">
      <c r="A194" s="486" t="s">
        <v>881</v>
      </c>
      <c r="B194" s="479" t="s">
        <v>635</v>
      </c>
      <c r="C194" s="117">
        <v>0.10199999999999999</v>
      </c>
      <c r="D194" s="117">
        <f t="shared" si="2"/>
        <v>0.19770000000000001</v>
      </c>
      <c r="E194" s="489">
        <v>0.15540000000000001</v>
      </c>
      <c r="F194" s="490">
        <v>0.1978</v>
      </c>
    </row>
    <row r="195" spans="1:6" ht="16">
      <c r="A195" s="475" t="s">
        <v>331</v>
      </c>
      <c r="B195" s="479" t="s">
        <v>556</v>
      </c>
      <c r="C195" s="135">
        <v>7.6499999999999999E-2</v>
      </c>
      <c r="D195" s="117">
        <f t="shared" si="2"/>
        <v>0.15889999999999999</v>
      </c>
      <c r="E195" s="489">
        <v>0.1166</v>
      </c>
      <c r="F195" s="490">
        <v>0.3</v>
      </c>
    </row>
    <row r="196" spans="1:6" ht="16">
      <c r="A196" s="487" t="s">
        <v>582</v>
      </c>
      <c r="B196" s="479" t="s">
        <v>635</v>
      </c>
      <c r="C196" s="464">
        <v>7.6499999999999999E-2</v>
      </c>
      <c r="D196" s="117">
        <f t="shared" si="2"/>
        <v>0.15889999999999999</v>
      </c>
      <c r="E196" s="489">
        <v>0.1166</v>
      </c>
      <c r="F196" s="490">
        <v>0.159</v>
      </c>
    </row>
    <row r="200" spans="1:6">
      <c r="A200" s="491" t="s">
        <v>335</v>
      </c>
      <c r="B200" s="465" t="s">
        <v>357</v>
      </c>
      <c r="C200" s="480" t="s">
        <v>984</v>
      </c>
      <c r="D200" s="465" t="s">
        <v>636</v>
      </c>
      <c r="E200" s="465" t="s">
        <v>976</v>
      </c>
      <c r="F200" s="80" t="s">
        <v>971</v>
      </c>
    </row>
    <row r="201" spans="1:6">
      <c r="A201" s="1" t="s">
        <v>337</v>
      </c>
      <c r="B201" s="464">
        <f>$B$1+E201</f>
        <v>0.11949308050536839</v>
      </c>
      <c r="C201" s="464">
        <v>5.0672304468171489E-2</v>
      </c>
      <c r="D201" s="464">
        <v>0.27390173905276305</v>
      </c>
      <c r="E201" s="464">
        <v>7.7193080505368383E-2</v>
      </c>
      <c r="F201" s="466">
        <v>2340875.22920722</v>
      </c>
    </row>
    <row r="202" spans="1:6">
      <c r="A202" s="1" t="s">
        <v>403</v>
      </c>
      <c r="B202" s="464">
        <f t="shared" ref="B202:B210" si="3">$B$1+E202</f>
        <v>5.7223235648452254E-2</v>
      </c>
      <c r="C202" s="464">
        <v>9.7961466944702924E-3</v>
      </c>
      <c r="D202" s="464">
        <v>0.25654534735852497</v>
      </c>
      <c r="E202" s="464">
        <v>1.4923235648452259E-2</v>
      </c>
      <c r="F202" s="466">
        <v>34731689.374811396</v>
      </c>
    </row>
    <row r="203" spans="1:6">
      <c r="A203" s="1" t="s">
        <v>339</v>
      </c>
      <c r="B203" s="464">
        <f t="shared" si="3"/>
        <v>4.2340821732004208E-2</v>
      </c>
      <c r="C203" s="464">
        <v>2.6796847845597547E-5</v>
      </c>
      <c r="D203" s="464">
        <v>0.29735221227379716</v>
      </c>
      <c r="E203" s="464">
        <v>4.0821732004207806E-5</v>
      </c>
      <c r="F203" s="466">
        <v>2018608.836750448</v>
      </c>
    </row>
    <row r="204" spans="1:6">
      <c r="A204" s="1" t="s">
        <v>341</v>
      </c>
      <c r="B204" s="464">
        <f t="shared" si="3"/>
        <v>0.117176823349771</v>
      </c>
      <c r="C204" s="464">
        <v>4.9151830261848689E-2</v>
      </c>
      <c r="D204" s="464">
        <v>0.26526547543374851</v>
      </c>
      <c r="E204" s="464">
        <v>7.4876823349770999E-2</v>
      </c>
      <c r="F204" s="466">
        <v>347814.13246985013</v>
      </c>
    </row>
    <row r="205" spans="1:6">
      <c r="A205" s="1" t="s">
        <v>338</v>
      </c>
      <c r="B205" s="464">
        <f t="shared" si="3"/>
        <v>8.4628496206189827E-2</v>
      </c>
      <c r="C205" s="464">
        <v>2.7785941866780777E-2</v>
      </c>
      <c r="D205" s="464">
        <v>0.31546691365656965</v>
      </c>
      <c r="E205" s="464">
        <v>4.2328496206189829E-2</v>
      </c>
      <c r="F205" s="466">
        <v>6538486.8558456972</v>
      </c>
    </row>
    <row r="206" spans="1:6">
      <c r="A206" s="1" t="s">
        <v>975</v>
      </c>
      <c r="B206" s="464">
        <f t="shared" si="3"/>
        <v>7.5777091018450746E-2</v>
      </c>
      <c r="C206" s="464">
        <v>2.1975562287317348E-2</v>
      </c>
      <c r="D206" s="464">
        <v>0.17637480027426933</v>
      </c>
      <c r="E206" s="464">
        <v>3.3477091018450748E-2</v>
      </c>
      <c r="F206" s="466">
        <v>3491477.1931399349</v>
      </c>
    </row>
    <row r="207" spans="1:6">
      <c r="A207" s="1" t="s">
        <v>342</v>
      </c>
      <c r="B207" s="464">
        <f t="shared" si="3"/>
        <v>6.2366864403681901E-2</v>
      </c>
      <c r="C207" s="464">
        <v>1.3172608945359637E-2</v>
      </c>
      <c r="D207" s="464">
        <v>0.16120225505978519</v>
      </c>
      <c r="E207" s="464">
        <v>2.0066864403681904E-2</v>
      </c>
      <c r="F207" s="466">
        <v>3565018.312473313</v>
      </c>
    </row>
    <row r="208" spans="1:6">
      <c r="A208" s="1" t="s">
        <v>344</v>
      </c>
      <c r="B208" s="464">
        <f t="shared" si="3"/>
        <v>4.4464748784794041E-2</v>
      </c>
      <c r="C208" s="464">
        <v>2.1647487847940407E-3</v>
      </c>
      <c r="D208" s="464">
        <v>0.25082522328519713</v>
      </c>
      <c r="E208" s="464">
        <v>2.1647487847940407E-3</v>
      </c>
      <c r="F208" s="466">
        <v>30994592.957364962</v>
      </c>
    </row>
    <row r="209" spans="1:6">
      <c r="A209" s="1" t="s">
        <v>336</v>
      </c>
      <c r="B209" s="464">
        <f t="shared" si="3"/>
        <v>5.2665467678857734E-2</v>
      </c>
      <c r="C209" s="464">
        <v>6.8042644591899959E-3</v>
      </c>
      <c r="D209" s="464">
        <v>0.25557231156583926</v>
      </c>
      <c r="E209" s="464">
        <v>1.0365467678857737E-2</v>
      </c>
      <c r="F209" s="466">
        <v>23561725.635146514</v>
      </c>
    </row>
    <row r="210" spans="1:6">
      <c r="A210" s="1" t="s">
        <v>465</v>
      </c>
      <c r="B210" s="464">
        <f t="shared" si="3"/>
        <v>5.6257073300462909E-2</v>
      </c>
      <c r="C210" s="464">
        <v>9.3761767521845681E-3</v>
      </c>
      <c r="D210" s="464">
        <v>0.25367576019974325</v>
      </c>
      <c r="E210" s="464">
        <v>1.3957073300462912E-2</v>
      </c>
      <c r="F210" s="466">
        <v>107590288.52720933</v>
      </c>
    </row>
    <row r="213" spans="1:6">
      <c r="A213" s="480"/>
      <c r="B213" s="480" t="s">
        <v>357</v>
      </c>
      <c r="C213" s="480" t="s">
        <v>889</v>
      </c>
      <c r="D213" s="80" t="s">
        <v>130</v>
      </c>
      <c r="E213" s="480" t="s">
        <v>890</v>
      </c>
    </row>
    <row r="214" spans="1:6">
      <c r="A214" s="1" t="s">
        <v>977</v>
      </c>
      <c r="B214" s="93">
        <f>$B$1+E214</f>
        <v>8.4914849486746075E-2</v>
      </c>
      <c r="C214" s="93">
        <v>2.8036085188648738E-2</v>
      </c>
      <c r="D214" s="464">
        <v>0.20587211383081347</v>
      </c>
      <c r="E214" s="464">
        <f>C214*1.52</f>
        <v>4.2614849486746084E-2</v>
      </c>
      <c r="F214" s="234"/>
    </row>
    <row r="215" spans="1:6">
      <c r="A215" s="1" t="s">
        <v>978</v>
      </c>
      <c r="B215" s="93">
        <f t="shared" ref="B215:B224" si="4">$B$1+E215</f>
        <v>4.2319290389235598E-2</v>
      </c>
      <c r="C215" s="93">
        <v>1.2691045549737567E-5</v>
      </c>
      <c r="D215" s="464">
        <v>0.27842704609921326</v>
      </c>
      <c r="E215" s="464">
        <f t="shared" ref="E215:E224" si="5">C215*1.52</f>
        <v>1.92903892356011E-5</v>
      </c>
    </row>
    <row r="216" spans="1:6">
      <c r="A216" s="1" t="s">
        <v>979</v>
      </c>
      <c r="B216" s="93">
        <f t="shared" si="4"/>
        <v>8.6174941011547337E-2</v>
      </c>
      <c r="C216" s="93">
        <v>2.886509277075483E-2</v>
      </c>
      <c r="D216" s="464">
        <v>0.31293133327548611</v>
      </c>
      <c r="E216" s="464">
        <f t="shared" si="5"/>
        <v>4.387494101154734E-2</v>
      </c>
    </row>
    <row r="217" spans="1:6">
      <c r="A217" s="1" t="s">
        <v>279</v>
      </c>
      <c r="B217" s="93">
        <f t="shared" si="4"/>
        <v>5.1409248196635018E-2</v>
      </c>
      <c r="C217" s="464">
        <v>5.9929264451546206E-3</v>
      </c>
      <c r="D217" s="464">
        <v>0.2974</v>
      </c>
      <c r="E217" s="464">
        <f t="shared" si="5"/>
        <v>9.1092481966350228E-3</v>
      </c>
    </row>
    <row r="218" spans="1:6">
      <c r="A218" s="1" t="s">
        <v>721</v>
      </c>
      <c r="B218" s="93">
        <f t="shared" si="4"/>
        <v>4.5847192338387868E-2</v>
      </c>
      <c r="C218" s="464">
        <v>2.3336791699920191E-3</v>
      </c>
      <c r="D218" s="464">
        <v>0.25</v>
      </c>
      <c r="E218" s="464">
        <f t="shared" si="5"/>
        <v>3.5471923383878692E-3</v>
      </c>
    </row>
    <row r="219" spans="1:6">
      <c r="A219" s="1" t="s">
        <v>882</v>
      </c>
      <c r="B219" s="93">
        <f t="shared" si="4"/>
        <v>5.2642481977968794E-2</v>
      </c>
      <c r="C219" s="464">
        <v>6.8042644591899959E-3</v>
      </c>
      <c r="D219" s="464">
        <v>0.25557231156583926</v>
      </c>
      <c r="E219" s="464">
        <f t="shared" si="5"/>
        <v>1.0342481977968793E-2</v>
      </c>
    </row>
    <row r="220" spans="1:6">
      <c r="A220" s="1" t="s">
        <v>980</v>
      </c>
      <c r="B220" s="93">
        <f t="shared" si="4"/>
        <v>6.6224343199769817E-2</v>
      </c>
      <c r="C220" s="93">
        <v>1.5739699473532778E-2</v>
      </c>
      <c r="D220" s="464">
        <v>0.25110147332024457</v>
      </c>
      <c r="E220" s="464">
        <f t="shared" si="5"/>
        <v>2.3924343199769823E-2</v>
      </c>
    </row>
    <row r="221" spans="1:6">
      <c r="A221" s="1" t="s">
        <v>981</v>
      </c>
      <c r="B221" s="93">
        <f t="shared" si="4"/>
        <v>6.698520980036643E-2</v>
      </c>
      <c r="C221" s="93">
        <v>1.6240269605504232E-2</v>
      </c>
      <c r="D221" s="464">
        <v>0.25726349361837231</v>
      </c>
      <c r="E221" s="464">
        <f t="shared" si="5"/>
        <v>2.4685209800366432E-2</v>
      </c>
    </row>
    <row r="222" spans="1:6">
      <c r="A222" s="1" t="s">
        <v>272</v>
      </c>
      <c r="B222" s="93">
        <f t="shared" si="4"/>
        <v>7.0690490212845819E-2</v>
      </c>
      <c r="C222" s="93">
        <v>1.8677954087398564E-2</v>
      </c>
      <c r="D222" s="464">
        <v>0.3</v>
      </c>
      <c r="E222" s="464">
        <f t="shared" si="5"/>
        <v>2.8390490212845818E-2</v>
      </c>
    </row>
    <row r="223" spans="1:6">
      <c r="A223" s="1" t="s">
        <v>251</v>
      </c>
      <c r="B223" s="93">
        <f t="shared" si="4"/>
        <v>5.1409248196635018E-2</v>
      </c>
      <c r="C223" s="464">
        <v>5.9929264451546206E-3</v>
      </c>
      <c r="D223" s="464">
        <v>0.25</v>
      </c>
      <c r="E223" s="464">
        <f t="shared" si="5"/>
        <v>9.1092481966350228E-3</v>
      </c>
    </row>
    <row r="224" spans="1:6">
      <c r="A224" s="1" t="s">
        <v>465</v>
      </c>
      <c r="B224" s="93">
        <f t="shared" si="4"/>
        <v>5.6551788663320543E-2</v>
      </c>
      <c r="C224" s="464">
        <v>9.3761767521845681E-3</v>
      </c>
      <c r="D224" s="464">
        <v>0.25367576019974325</v>
      </c>
      <c r="E224" s="464">
        <f t="shared" si="5"/>
        <v>1.4251788663320544E-2</v>
      </c>
    </row>
    <row r="225" spans="1:5">
      <c r="B225" s="92"/>
      <c r="C225" s="92"/>
    </row>
    <row r="226" spans="1:5">
      <c r="A226" s="500" t="s">
        <v>982</v>
      </c>
      <c r="B226" s="500"/>
      <c r="C226" s="500"/>
    </row>
    <row r="227" spans="1:5">
      <c r="A227" s="480"/>
      <c r="B227" s="480" t="s">
        <v>357</v>
      </c>
      <c r="C227" s="480" t="s">
        <v>889</v>
      </c>
      <c r="D227" s="80" t="s">
        <v>130</v>
      </c>
      <c r="E227" s="480" t="s">
        <v>890</v>
      </c>
    </row>
    <row r="228" spans="1:5" ht="14">
      <c r="A228" s="1" t="s">
        <v>972</v>
      </c>
      <c r="B228" s="492">
        <f>B1+E228</f>
        <v>5.9111200000000003E-2</v>
      </c>
      <c r="C228" s="93">
        <v>1.106E-2</v>
      </c>
      <c r="D228" s="481">
        <v>0.24859999999999999</v>
      </c>
      <c r="E228" s="464">
        <f>C228*1.52</f>
        <v>1.6811200000000002E-2</v>
      </c>
    </row>
  </sheetData>
  <mergeCells count="1">
    <mergeCell ref="A226:C226"/>
  </mergeCells>
  <pageMargins left="0.75" right="0.75" top="1" bottom="1" header="0.5" footer="0.5"/>
  <pageSetup orientation="portrait" horizontalDpi="4294967292" verticalDpi="4294967292"/>
  <headerFooter alignWithMargins="0"/>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97"/>
  <sheetViews>
    <sheetView workbookViewId="0">
      <pane xSplit="1" ySplit="1" topLeftCell="B84" activePane="bottomRight" state="frozen"/>
      <selection pane="topRight" activeCell="B1" sqref="B1"/>
      <selection pane="bottomLeft" activeCell="A2" sqref="A2"/>
      <selection pane="bottomRight" sqref="A1:AA1048576"/>
    </sheetView>
  </sheetViews>
  <sheetFormatPr baseColWidth="10" defaultColWidth="11.5" defaultRowHeight="13"/>
  <cols>
    <col min="1" max="1" width="23.1640625" customWidth="1"/>
    <col min="2" max="23" width="10.6640625" style="92" customWidth="1"/>
    <col min="24" max="27" width="11.5" style="92"/>
  </cols>
  <sheetData>
    <row r="1" spans="1:27" s="168" customFormat="1" ht="70">
      <c r="A1" s="467" t="s">
        <v>86</v>
      </c>
      <c r="B1" s="468" t="s">
        <v>158</v>
      </c>
      <c r="C1" s="469" t="s">
        <v>146</v>
      </c>
      <c r="D1" s="469" t="s">
        <v>586</v>
      </c>
      <c r="E1" s="469" t="s">
        <v>163</v>
      </c>
      <c r="F1" s="468" t="s">
        <v>147</v>
      </c>
      <c r="G1" s="468" t="s">
        <v>193</v>
      </c>
      <c r="H1" s="468" t="s">
        <v>148</v>
      </c>
      <c r="I1" s="468" t="s">
        <v>149</v>
      </c>
      <c r="J1" s="468" t="s">
        <v>150</v>
      </c>
      <c r="K1" s="468" t="s">
        <v>151</v>
      </c>
      <c r="L1" s="468" t="s">
        <v>152</v>
      </c>
      <c r="M1" s="468" t="s">
        <v>135</v>
      </c>
      <c r="N1" s="470" t="s">
        <v>89</v>
      </c>
      <c r="O1" s="468" t="s">
        <v>153</v>
      </c>
      <c r="P1" s="468" t="s">
        <v>154</v>
      </c>
      <c r="Q1" s="468" t="s">
        <v>155</v>
      </c>
      <c r="R1" s="468" t="s">
        <v>156</v>
      </c>
      <c r="S1" s="468" t="s">
        <v>157</v>
      </c>
      <c r="T1" s="468" t="s">
        <v>467</v>
      </c>
      <c r="U1" s="468" t="s">
        <v>468</v>
      </c>
      <c r="V1" s="468" t="s">
        <v>469</v>
      </c>
      <c r="W1" s="468" t="s">
        <v>470</v>
      </c>
      <c r="X1" s="468" t="s">
        <v>454</v>
      </c>
      <c r="Y1" s="468" t="s">
        <v>471</v>
      </c>
      <c r="Z1" s="468" t="s">
        <v>472</v>
      </c>
      <c r="AA1" s="468" t="s">
        <v>594</v>
      </c>
    </row>
    <row r="2" spans="1:27" ht="14">
      <c r="A2" s="147" t="s">
        <v>87</v>
      </c>
      <c r="B2" s="268">
        <v>52</v>
      </c>
      <c r="C2" s="482">
        <v>0.17674521739130433</v>
      </c>
      <c r="D2" s="482">
        <v>0.10065798723499017</v>
      </c>
      <c r="E2" s="482">
        <v>0.27722690747495482</v>
      </c>
      <c r="F2" s="482">
        <v>0.28075820102119331</v>
      </c>
      <c r="G2" s="483">
        <v>1.0080098903421257</v>
      </c>
      <c r="H2" s="483">
        <v>1.210506967409714</v>
      </c>
      <c r="I2" s="482">
        <v>9.3488610746473244E-2</v>
      </c>
      <c r="J2" s="482">
        <v>0.62914804050487017</v>
      </c>
      <c r="K2" s="482">
        <v>5.2913000000000002E-2</v>
      </c>
      <c r="L2" s="482">
        <v>0.28673357582060643</v>
      </c>
      <c r="M2" s="482">
        <v>7.8061237361683022E-2</v>
      </c>
      <c r="N2" s="483">
        <v>3.8532841090748775</v>
      </c>
      <c r="O2" s="483">
        <v>2.1248944823347125</v>
      </c>
      <c r="P2" s="483">
        <v>11.998645075035455</v>
      </c>
      <c r="Q2" s="483">
        <v>20.908715533874364</v>
      </c>
      <c r="R2" s="483">
        <v>4.5512149974568974</v>
      </c>
      <c r="S2" s="483">
        <v>44.433352884106661</v>
      </c>
      <c r="T2" s="482">
        <v>3.8339247397853944E-2</v>
      </c>
      <c r="U2" s="482">
        <v>1.9128564224040443E-2</v>
      </c>
      <c r="V2" s="482">
        <v>-1.5213125107799716E-2</v>
      </c>
      <c r="W2" s="482">
        <v>-0.20502082103706407</v>
      </c>
      <c r="X2" s="482">
        <v>-1.3422566300720232E-2</v>
      </c>
      <c r="Y2" s="482">
        <v>2.7465942927341557E-3</v>
      </c>
      <c r="Z2" s="482">
        <v>2.7465942927341613E-3</v>
      </c>
      <c r="AA2" s="484">
        <v>0.1019039142882163</v>
      </c>
    </row>
    <row r="3" spans="1:27" ht="14">
      <c r="A3" s="147" t="s">
        <v>637</v>
      </c>
      <c r="B3" s="268">
        <v>79</v>
      </c>
      <c r="C3" s="482">
        <v>0.11099880952380951</v>
      </c>
      <c r="D3" s="482">
        <v>8.6545889955926644E-2</v>
      </c>
      <c r="E3" s="482">
        <v>0.16012360749257398</v>
      </c>
      <c r="F3" s="482">
        <v>0.17112253733048063</v>
      </c>
      <c r="G3" s="483">
        <v>0.86937728239149248</v>
      </c>
      <c r="H3" s="483">
        <v>0.945491480030761</v>
      </c>
      <c r="I3" s="482">
        <v>8.166892000937194E-2</v>
      </c>
      <c r="J3" s="482">
        <v>0.46452299950863785</v>
      </c>
      <c r="K3" s="482">
        <v>5.2913000000000002E-2</v>
      </c>
      <c r="L3" s="482">
        <v>0.13466811966755601</v>
      </c>
      <c r="M3" s="482">
        <v>7.601499077840683E-2</v>
      </c>
      <c r="N3" s="483">
        <v>2.7434104399754147</v>
      </c>
      <c r="O3" s="483">
        <v>3.5707065819089849</v>
      </c>
      <c r="P3" s="483">
        <v>21.583912765181378</v>
      </c>
      <c r="Q3" s="483">
        <v>34.787926206201362</v>
      </c>
      <c r="R3" s="483">
        <v>7.880460504324958</v>
      </c>
      <c r="S3" s="483">
        <v>92.800315347927679</v>
      </c>
      <c r="T3" s="482">
        <v>0.41210226490639607</v>
      </c>
      <c r="U3" s="482">
        <v>2.9962295072176206E-2</v>
      </c>
      <c r="V3" s="482">
        <v>8.1800791076195971E-3</v>
      </c>
      <c r="W3" s="482">
        <v>0.67917261699491427</v>
      </c>
      <c r="X3" s="482">
        <v>0.15268987249879978</v>
      </c>
      <c r="Y3" s="482">
        <v>0.50152340872651735</v>
      </c>
      <c r="Z3" s="482">
        <v>0.50152340872651735</v>
      </c>
      <c r="AA3" s="484">
        <v>8.7653715914411567E-2</v>
      </c>
    </row>
    <row r="4" spans="1:27" ht="14">
      <c r="A4" s="147" t="s">
        <v>638</v>
      </c>
      <c r="B4" s="268">
        <v>23</v>
      </c>
      <c r="C4" s="482">
        <v>0.4778615384615385</v>
      </c>
      <c r="D4" s="482">
        <v>5.321179963425901E-2</v>
      </c>
      <c r="E4" s="482">
        <v>7.929312533704834E-2</v>
      </c>
      <c r="F4" s="482">
        <v>0.22628440256519328</v>
      </c>
      <c r="G4" s="483">
        <v>0.75790381791186878</v>
      </c>
      <c r="H4" s="483">
        <v>1.1854651004067109</v>
      </c>
      <c r="I4" s="482">
        <v>9.2371743478139312E-2</v>
      </c>
      <c r="J4" s="482">
        <v>0.59004326285352304</v>
      </c>
      <c r="K4" s="482">
        <v>5.2913000000000002E-2</v>
      </c>
      <c r="L4" s="482">
        <v>0.4769069257453501</v>
      </c>
      <c r="M4" s="482">
        <v>6.7244951391714589E-2</v>
      </c>
      <c r="N4" s="483">
        <v>1.7998836515635137</v>
      </c>
      <c r="O4" s="483">
        <v>1.0259549224502678</v>
      </c>
      <c r="P4" s="483">
        <v>7.5752576842580597</v>
      </c>
      <c r="Q4" s="483">
        <v>19.31868974315794</v>
      </c>
      <c r="R4" s="483">
        <v>2.8414228484458723</v>
      </c>
      <c r="S4" s="483">
        <v>18.321546666616339</v>
      </c>
      <c r="T4" s="482">
        <v>4.5173792240455713E-3</v>
      </c>
      <c r="U4" s="482">
        <v>8.2971993040281439E-2</v>
      </c>
      <c r="V4" s="482">
        <v>3.6065730566461153E-2</v>
      </c>
      <c r="W4" s="482">
        <v>0.83754413249883808</v>
      </c>
      <c r="X4" s="482">
        <v>0.14194840786095569</v>
      </c>
      <c r="Y4" s="482">
        <v>0.13207154048602646</v>
      </c>
      <c r="Z4" s="482">
        <v>0.13207154048602643</v>
      </c>
      <c r="AA4" s="484">
        <v>4.8990642329471888E-2</v>
      </c>
    </row>
    <row r="5" spans="1:27" ht="14">
      <c r="A5" s="147" t="s">
        <v>639</v>
      </c>
      <c r="B5" s="268">
        <v>35</v>
      </c>
      <c r="C5" s="482">
        <v>8.1020434782608688E-2</v>
      </c>
      <c r="D5" s="482">
        <v>9.1100596600812572E-2</v>
      </c>
      <c r="E5" s="482">
        <v>0.15768515602445898</v>
      </c>
      <c r="F5" s="482">
        <v>0.22113578948012313</v>
      </c>
      <c r="G5" s="483">
        <v>0.79456349870036302</v>
      </c>
      <c r="H5" s="483">
        <v>0.93587446429798749</v>
      </c>
      <c r="I5" s="482">
        <v>8.1240001107690252E-2</v>
      </c>
      <c r="J5" s="482">
        <v>0.46263736732369448</v>
      </c>
      <c r="K5" s="482">
        <v>5.2913000000000002E-2</v>
      </c>
      <c r="L5" s="482">
        <v>0.23834056137480741</v>
      </c>
      <c r="M5" s="482">
        <v>7.1335699230612268E-2</v>
      </c>
      <c r="N5" s="483">
        <v>1.7686670295178619</v>
      </c>
      <c r="O5" s="483">
        <v>1.5942098214130109</v>
      </c>
      <c r="P5" s="483">
        <v>10.304886321816396</v>
      </c>
      <c r="Q5" s="483">
        <v>16.086521568825084</v>
      </c>
      <c r="R5" s="483">
        <v>3.8939527849611268</v>
      </c>
      <c r="S5" s="483">
        <v>37.827986389111359</v>
      </c>
      <c r="T5" s="482">
        <v>0.24379365432315239</v>
      </c>
      <c r="U5" s="482">
        <v>2.4179706108016178E-2</v>
      </c>
      <c r="V5" s="482">
        <v>2.0765439612781312E-2</v>
      </c>
      <c r="W5" s="482">
        <v>0.31473571317726051</v>
      </c>
      <c r="X5" s="482">
        <v>0.10420771437290409</v>
      </c>
      <c r="Y5" s="482">
        <v>0.50093167816757211</v>
      </c>
      <c r="Z5" s="482">
        <v>0.50093167816757211</v>
      </c>
      <c r="AA5" s="484">
        <v>9.8736467259427196E-2</v>
      </c>
    </row>
    <row r="6" spans="1:27" ht="14">
      <c r="A6" s="147" t="s">
        <v>640</v>
      </c>
      <c r="B6" s="268">
        <v>33</v>
      </c>
      <c r="C6" s="482">
        <v>8.6399999999999991E-2</v>
      </c>
      <c r="D6" s="482">
        <v>2.3182133033712707E-2</v>
      </c>
      <c r="E6" s="482">
        <v>2.2474128513756082E-2</v>
      </c>
      <c r="F6" s="482">
        <v>0.21930680504244338</v>
      </c>
      <c r="G6" s="483">
        <v>1.3081652064358895</v>
      </c>
      <c r="H6" s="483">
        <v>1.4564933048347815</v>
      </c>
      <c r="I6" s="482">
        <v>0.10445960139563126</v>
      </c>
      <c r="J6" s="482">
        <v>0.61834605423543032</v>
      </c>
      <c r="K6" s="482">
        <v>5.2913000000000002E-2</v>
      </c>
      <c r="L6" s="482">
        <v>0.1645493552310309</v>
      </c>
      <c r="M6" s="482">
        <v>9.3800941363294296E-2</v>
      </c>
      <c r="N6" s="483">
        <v>1.0752957002212575</v>
      </c>
      <c r="O6" s="483">
        <v>3.8830204268850239</v>
      </c>
      <c r="P6" s="483">
        <v>47.755842428808094</v>
      </c>
      <c r="Q6" s="483">
        <v>160.31625531932139</v>
      </c>
      <c r="R6" s="483">
        <v>7.7247318021196216</v>
      </c>
      <c r="S6" s="483">
        <v>64.320310763042144</v>
      </c>
      <c r="T6" s="482">
        <v>-2.9612109345663426E-2</v>
      </c>
      <c r="U6" s="482">
        <v>5.943956971379534E-2</v>
      </c>
      <c r="V6" s="482">
        <v>2.0963183890618645E-2</v>
      </c>
      <c r="W6" s="482">
        <v>-0.38556790821030457</v>
      </c>
      <c r="X6" s="482">
        <v>3.1593225200262073E-2</v>
      </c>
      <c r="Y6" s="482">
        <v>0.58308529258008712</v>
      </c>
      <c r="Z6" s="482">
        <v>0.58308529258008712</v>
      </c>
      <c r="AA6" s="484">
        <v>2.5282982120005484E-2</v>
      </c>
    </row>
    <row r="7" spans="1:27" ht="14">
      <c r="A7" s="147" t="s">
        <v>641</v>
      </c>
      <c r="B7" s="268">
        <v>35</v>
      </c>
      <c r="C7" s="482">
        <v>0.15909478260869567</v>
      </c>
      <c r="D7" s="482">
        <v>5.6737586636622525E-2</v>
      </c>
      <c r="E7" s="482">
        <v>8.9759482733280785E-2</v>
      </c>
      <c r="F7" s="482">
        <v>0.31646841745603793</v>
      </c>
      <c r="G7" s="483">
        <v>1.1283051051783621</v>
      </c>
      <c r="H7" s="483">
        <v>1.3394463651948414</v>
      </c>
      <c r="I7" s="482">
        <v>9.923930788768992E-2</v>
      </c>
      <c r="J7" s="482">
        <v>0.49872040429854986</v>
      </c>
      <c r="K7" s="482">
        <v>5.2913000000000002E-2</v>
      </c>
      <c r="L7" s="482">
        <v>0.29310639265066302</v>
      </c>
      <c r="M7" s="482">
        <v>8.1783486259324037E-2</v>
      </c>
      <c r="N7" s="483">
        <v>2.3891597014301214</v>
      </c>
      <c r="O7" s="483">
        <v>0.82283597858861601</v>
      </c>
      <c r="P7" s="483">
        <v>6.4280939850502019</v>
      </c>
      <c r="Q7" s="483">
        <v>12.382869040734903</v>
      </c>
      <c r="R7" s="483">
        <v>1.8654553985370741</v>
      </c>
      <c r="S7" s="483">
        <v>28.072976948360228</v>
      </c>
      <c r="T7" s="482">
        <v>0.15854920600884467</v>
      </c>
      <c r="U7" s="482">
        <v>2.9845679057963842E-2</v>
      </c>
      <c r="V7" s="482">
        <v>2.0125586933592531E-2</v>
      </c>
      <c r="W7" s="482">
        <v>0.38991609265032834</v>
      </c>
      <c r="X7" s="482">
        <v>2.1741488211912706E-2</v>
      </c>
      <c r="Y7" s="482">
        <v>1.0954685021035435</v>
      </c>
      <c r="Z7" s="482">
        <v>1.0954685021035435</v>
      </c>
      <c r="AA7" s="484">
        <v>5.9639004702241441E-2</v>
      </c>
    </row>
    <row r="8" spans="1:27" ht="14">
      <c r="A8" s="147" t="s">
        <v>986</v>
      </c>
      <c r="B8" s="268">
        <v>15</v>
      </c>
      <c r="C8" s="482">
        <v>9.0564285714285708E-2</v>
      </c>
      <c r="D8" s="482">
        <v>0</v>
      </c>
      <c r="E8" s="482" t="s">
        <v>88</v>
      </c>
      <c r="F8" s="482">
        <v>0.1738047314193501</v>
      </c>
      <c r="G8" s="483">
        <v>0.44389138006489998</v>
      </c>
      <c r="H8" s="483">
        <v>0.76104618197253326</v>
      </c>
      <c r="I8" s="482">
        <v>7.3442659715974981E-2</v>
      </c>
      <c r="J8" s="482">
        <v>0.22738717670540012</v>
      </c>
      <c r="K8" s="482">
        <v>4.7306000000000001E-2</v>
      </c>
      <c r="L8" s="482">
        <v>0.62148405563532549</v>
      </c>
      <c r="M8" s="482">
        <v>4.9849161250959236E-2</v>
      </c>
      <c r="N8" s="483">
        <v>0.19063799548614979</v>
      </c>
      <c r="O8" s="483">
        <v>8.3095572504514408</v>
      </c>
      <c r="P8" s="483" t="s">
        <v>88</v>
      </c>
      <c r="Q8" s="483" t="s">
        <v>88</v>
      </c>
      <c r="R8" s="483">
        <v>1.6223296378573757</v>
      </c>
      <c r="S8" s="483">
        <v>14.951036175287276</v>
      </c>
      <c r="T8" s="482" t="s">
        <v>88</v>
      </c>
      <c r="U8" s="482">
        <v>1.7805533752553969E-2</v>
      </c>
      <c r="V8" s="482">
        <v>1.7948244308411583E-2</v>
      </c>
      <c r="W8" s="482">
        <v>4.9849161250959236E-2</v>
      </c>
      <c r="X8" s="482">
        <v>0.12860334221749448</v>
      </c>
      <c r="Y8" s="482">
        <v>0.28110834050684669</v>
      </c>
      <c r="Z8" s="482">
        <v>0.28110834050684663</v>
      </c>
      <c r="AA8" s="484">
        <v>7.7508014374716048E-4</v>
      </c>
    </row>
    <row r="9" spans="1:27" ht="14">
      <c r="A9" s="147" t="s">
        <v>987</v>
      </c>
      <c r="B9" s="268">
        <v>568</v>
      </c>
      <c r="C9" s="482">
        <v>8.0465436241610747E-2</v>
      </c>
      <c r="D9" s="482">
        <v>4.9066905828215586E-8</v>
      </c>
      <c r="E9" s="482" t="s">
        <v>88</v>
      </c>
      <c r="F9" s="482">
        <v>0.20777644630420286</v>
      </c>
      <c r="G9" s="483">
        <v>0.37443924484859969</v>
      </c>
      <c r="H9" s="483">
        <v>0.3984765556409175</v>
      </c>
      <c r="I9" s="482">
        <v>5.7272054381584919E-2</v>
      </c>
      <c r="J9" s="482">
        <v>0.22682557552961419</v>
      </c>
      <c r="K9" s="482">
        <v>4.7306000000000001E-2</v>
      </c>
      <c r="L9" s="482">
        <v>0.34254771446401233</v>
      </c>
      <c r="M9" s="482">
        <v>4.9807064685840313E-2</v>
      </c>
      <c r="N9" s="483">
        <v>0.32878811240865302</v>
      </c>
      <c r="O9" s="483">
        <v>4.2762722524190728</v>
      </c>
      <c r="P9" s="483" t="s">
        <v>88</v>
      </c>
      <c r="Q9" s="483" t="s">
        <v>88</v>
      </c>
      <c r="R9" s="483">
        <v>1.1380354084653936</v>
      </c>
      <c r="S9" s="483">
        <v>33.601517651478595</v>
      </c>
      <c r="T9" s="482" t="s">
        <v>88</v>
      </c>
      <c r="U9" s="482">
        <v>2.289227395172249E-2</v>
      </c>
      <c r="V9" s="482">
        <v>-1.3024346742433664E-2</v>
      </c>
      <c r="W9" s="482" t="s">
        <v>88</v>
      </c>
      <c r="X9" s="482">
        <v>9.7543187618609042E-2</v>
      </c>
      <c r="Y9" s="482">
        <v>0.36088813078537474</v>
      </c>
      <c r="Z9" s="482">
        <v>0.36088813078537474</v>
      </c>
      <c r="AA9" s="484">
        <v>-1.2057021094349254E-3</v>
      </c>
    </row>
    <row r="10" spans="1:27" ht="14">
      <c r="A10" s="147" t="s">
        <v>642</v>
      </c>
      <c r="B10" s="268">
        <v>14</v>
      </c>
      <c r="C10" s="482">
        <v>3.4277500000000002E-2</v>
      </c>
      <c r="D10" s="482">
        <v>0.22763344185619852</v>
      </c>
      <c r="E10" s="482">
        <v>0.15744765776572892</v>
      </c>
      <c r="F10" s="482">
        <v>0.24732206096351717</v>
      </c>
      <c r="G10" s="483">
        <v>0.62804663769258418</v>
      </c>
      <c r="H10" s="483">
        <v>0.81247562771327664</v>
      </c>
      <c r="I10" s="482">
        <v>7.5736412996012137E-2</v>
      </c>
      <c r="J10" s="482">
        <v>0.55961937245473869</v>
      </c>
      <c r="K10" s="482">
        <v>5.2913000000000002E-2</v>
      </c>
      <c r="L10" s="482">
        <v>0.30235027857951252</v>
      </c>
      <c r="M10" s="482">
        <v>6.4836182645913162E-2</v>
      </c>
      <c r="N10" s="483">
        <v>0.78831058035852075</v>
      </c>
      <c r="O10" s="483">
        <v>2.4539198950027634</v>
      </c>
      <c r="P10" s="483">
        <v>8.6054794922531404</v>
      </c>
      <c r="Q10" s="483">
        <v>10.752355231085623</v>
      </c>
      <c r="R10" s="483">
        <v>1.9141066446274413</v>
      </c>
      <c r="S10" s="483">
        <v>28.296299321153288</v>
      </c>
      <c r="T10" s="482">
        <v>0.1463996512322793</v>
      </c>
      <c r="U10" s="482">
        <v>6.7204997291489363E-2</v>
      </c>
      <c r="V10" s="482">
        <v>3.7359647665204013E-2</v>
      </c>
      <c r="W10" s="482">
        <v>0.22017927986497438</v>
      </c>
      <c r="X10" s="482">
        <v>5.6819180842403996E-3</v>
      </c>
      <c r="Y10" s="482">
        <v>2.2415451737553098E-3</v>
      </c>
      <c r="Z10" s="482">
        <v>2.2415451737552994E-3</v>
      </c>
      <c r="AA10" s="484">
        <v>0.22787292666526612</v>
      </c>
    </row>
    <row r="11" spans="1:27" ht="14">
      <c r="A11" s="147" t="s">
        <v>643</v>
      </c>
      <c r="B11" s="268">
        <v>27</v>
      </c>
      <c r="C11" s="482">
        <v>8.5834999999999995E-2</v>
      </c>
      <c r="D11" s="482">
        <v>0.20525114640955128</v>
      </c>
      <c r="E11" s="482">
        <v>0.29025635413491319</v>
      </c>
      <c r="F11" s="482">
        <v>0.19573514524683933</v>
      </c>
      <c r="G11" s="483">
        <v>0.57546483304106588</v>
      </c>
      <c r="H11" s="483">
        <v>0.64146870701471792</v>
      </c>
      <c r="I11" s="482">
        <v>6.8109504332856424E-2</v>
      </c>
      <c r="J11" s="482">
        <v>0.5788689759563741</v>
      </c>
      <c r="K11" s="482">
        <v>5.2913000000000002E-2</v>
      </c>
      <c r="L11" s="482">
        <v>0.17072402738576842</v>
      </c>
      <c r="M11" s="482">
        <v>6.3256715795700108E-2</v>
      </c>
      <c r="N11" s="483">
        <v>1.544178598437808</v>
      </c>
      <c r="O11" s="483">
        <v>4.1561134504933754</v>
      </c>
      <c r="P11" s="483">
        <v>16.904244970230788</v>
      </c>
      <c r="Q11" s="483">
        <v>20.140570312380291</v>
      </c>
      <c r="R11" s="483">
        <v>6.8690605400412119</v>
      </c>
      <c r="S11" s="483">
        <v>47.763759521720161</v>
      </c>
      <c r="T11" s="482">
        <v>-6.0032721026205854E-2</v>
      </c>
      <c r="U11" s="482">
        <v>4.5890535622925645E-2</v>
      </c>
      <c r="V11" s="482">
        <v>4.6903159142408279E-2</v>
      </c>
      <c r="W11" s="482">
        <v>0.3393378251123354</v>
      </c>
      <c r="X11" s="482">
        <v>0.30915585095530196</v>
      </c>
      <c r="Y11" s="482">
        <v>0.72668055392005815</v>
      </c>
      <c r="Z11" s="482">
        <v>0.72668055392005815</v>
      </c>
      <c r="AA11" s="484">
        <v>0.20632057123289904</v>
      </c>
    </row>
    <row r="12" spans="1:27" ht="14">
      <c r="A12" s="147" t="s">
        <v>644</v>
      </c>
      <c r="B12" s="268">
        <v>24</v>
      </c>
      <c r="C12" s="482">
        <v>8.4101052631578951E-2</v>
      </c>
      <c r="D12" s="482">
        <v>0.1233389317157333</v>
      </c>
      <c r="E12" s="482">
        <v>0.14567294791803095</v>
      </c>
      <c r="F12" s="482">
        <v>0.2553680892864994</v>
      </c>
      <c r="G12" s="483">
        <v>0.31529256983598403</v>
      </c>
      <c r="H12" s="483">
        <v>0.47075204848634544</v>
      </c>
      <c r="I12" s="482">
        <v>6.0495541362491009E-2</v>
      </c>
      <c r="J12" s="482">
        <v>0.46623069933478634</v>
      </c>
      <c r="K12" s="482">
        <v>5.2913000000000002E-2</v>
      </c>
      <c r="L12" s="482">
        <v>0.46194408637885409</v>
      </c>
      <c r="M12" s="482">
        <v>5.0882119359724157E-2</v>
      </c>
      <c r="N12" s="483">
        <v>1.2786649675026789</v>
      </c>
      <c r="O12" s="483">
        <v>1.3951404283252571</v>
      </c>
      <c r="P12" s="483">
        <v>7.8470146371084804</v>
      </c>
      <c r="Q12" s="483">
        <v>11.15839660891767</v>
      </c>
      <c r="R12" s="483">
        <v>1.6647215917807481</v>
      </c>
      <c r="S12" s="483">
        <v>44.759219595687902</v>
      </c>
      <c r="T12" s="482">
        <v>0.10455212950134336</v>
      </c>
      <c r="U12" s="482">
        <v>1.8236573388980014E-2</v>
      </c>
      <c r="V12" s="482">
        <v>-2.2588756128066975E-2</v>
      </c>
      <c r="W12" s="482">
        <v>1.8876238158055407</v>
      </c>
      <c r="X12" s="482">
        <v>3.9852496616758791E-2</v>
      </c>
      <c r="Y12" s="482">
        <v>0.60828155379406901</v>
      </c>
      <c r="Z12" s="482">
        <v>0.60828155379406901</v>
      </c>
      <c r="AA12" s="484">
        <v>0.12350100117883597</v>
      </c>
    </row>
    <row r="13" spans="1:27" ht="14">
      <c r="A13" s="147" t="s">
        <v>988</v>
      </c>
      <c r="B13" s="268">
        <v>32</v>
      </c>
      <c r="C13" s="482">
        <v>0.35515652173913048</v>
      </c>
      <c r="D13" s="482">
        <v>-1.7915896597858007E-5</v>
      </c>
      <c r="E13" s="482" t="s">
        <v>88</v>
      </c>
      <c r="F13" s="482">
        <v>0.20451763338497422</v>
      </c>
      <c r="G13" s="483">
        <v>0.67940308489163292</v>
      </c>
      <c r="H13" s="483">
        <v>1.171457071047836</v>
      </c>
      <c r="I13" s="482">
        <v>9.1746985368733491E-2</v>
      </c>
      <c r="J13" s="482">
        <v>0.366085597210624</v>
      </c>
      <c r="K13" s="482">
        <v>5.0672000000000002E-2</v>
      </c>
      <c r="L13" s="482">
        <v>0.57550426176123037</v>
      </c>
      <c r="M13" s="482">
        <v>6.0817668249255913E-2</v>
      </c>
      <c r="N13" s="483">
        <v>0.27486794148067012</v>
      </c>
      <c r="O13" s="483">
        <v>5.7822603958453156</v>
      </c>
      <c r="P13" s="483" t="s">
        <v>88</v>
      </c>
      <c r="Q13" s="483" t="s">
        <v>88</v>
      </c>
      <c r="R13" s="483">
        <v>2.8085918563185617</v>
      </c>
      <c r="S13" s="483">
        <v>86.541908981717086</v>
      </c>
      <c r="T13" s="482" t="s">
        <v>88</v>
      </c>
      <c r="U13" s="482">
        <v>2.1111275383845347E-2</v>
      </c>
      <c r="V13" s="482">
        <v>1.6386115473305877E-2</v>
      </c>
      <c r="W13" s="482" t="s">
        <v>88</v>
      </c>
      <c r="X13" s="482">
        <v>0.17767908407709018</v>
      </c>
      <c r="Y13" s="482">
        <v>0.2761307603548932</v>
      </c>
      <c r="Z13" s="482">
        <v>0.27613076035489326</v>
      </c>
      <c r="AA13" s="484">
        <v>-1.0225862520353711E-3</v>
      </c>
    </row>
    <row r="14" spans="1:27" ht="14">
      <c r="A14" s="147" t="s">
        <v>645</v>
      </c>
      <c r="B14" s="268">
        <v>41</v>
      </c>
      <c r="C14" s="482">
        <v>4.1387419354838688E-2</v>
      </c>
      <c r="D14" s="482">
        <v>0.12636826516708588</v>
      </c>
      <c r="E14" s="482">
        <v>0.20164568716545334</v>
      </c>
      <c r="F14" s="482">
        <v>0.28356853867642806</v>
      </c>
      <c r="G14" s="483">
        <v>0.96052756048811239</v>
      </c>
      <c r="H14" s="483">
        <v>1.1115321733442423</v>
      </c>
      <c r="I14" s="482">
        <v>8.9074334931153215E-2</v>
      </c>
      <c r="J14" s="482">
        <v>0.35282100910190417</v>
      </c>
      <c r="K14" s="482">
        <v>5.0672000000000002E-2</v>
      </c>
      <c r="L14" s="482">
        <v>0.20633852293836322</v>
      </c>
      <c r="M14" s="482">
        <v>7.8536557455491568E-2</v>
      </c>
      <c r="N14" s="483">
        <v>2.0607977148653194</v>
      </c>
      <c r="O14" s="483">
        <v>2.0460612293412557</v>
      </c>
      <c r="P14" s="483">
        <v>11.607041141993484</v>
      </c>
      <c r="Q14" s="483">
        <v>15.974601047170596</v>
      </c>
      <c r="R14" s="483">
        <v>3.6163268958860901</v>
      </c>
      <c r="S14" s="483">
        <v>32.79846401044874</v>
      </c>
      <c r="T14" s="482">
        <v>0.18435836678371018</v>
      </c>
      <c r="U14" s="482">
        <v>3.5512083849257643E-2</v>
      </c>
      <c r="V14" s="482">
        <v>2.7684617235980941E-2</v>
      </c>
      <c r="W14" s="482">
        <v>0.38226087278009907</v>
      </c>
      <c r="X14" s="482">
        <v>0.15997617762076355</v>
      </c>
      <c r="Y14" s="482">
        <v>0.2555367297858912</v>
      </c>
      <c r="Z14" s="482">
        <v>0.25553672978589126</v>
      </c>
      <c r="AA14" s="484">
        <v>0.1284573960907987</v>
      </c>
    </row>
    <row r="15" spans="1:27" ht="14">
      <c r="A15" s="147" t="s">
        <v>646</v>
      </c>
      <c r="B15" s="268">
        <v>155</v>
      </c>
      <c r="C15" s="482">
        <v>5.8026913580246926E-2</v>
      </c>
      <c r="D15" s="482">
        <v>0.12272432450303421</v>
      </c>
      <c r="E15" s="482">
        <v>0.28297691435712685</v>
      </c>
      <c r="F15" s="482">
        <v>0.2245735835052961</v>
      </c>
      <c r="G15" s="483">
        <v>0.8060249314889546</v>
      </c>
      <c r="H15" s="483">
        <v>0.88797853352427447</v>
      </c>
      <c r="I15" s="482">
        <v>7.9103842595182633E-2</v>
      </c>
      <c r="J15" s="482">
        <v>0.41106991639716206</v>
      </c>
      <c r="K15" s="482">
        <v>5.0672000000000002E-2</v>
      </c>
      <c r="L15" s="482">
        <v>0.16469046471107657</v>
      </c>
      <c r="M15" s="482">
        <v>7.2335090418629899E-2</v>
      </c>
      <c r="N15" s="483">
        <v>2.7985106130500914</v>
      </c>
      <c r="O15" s="483">
        <v>2.5297327118936694</v>
      </c>
      <c r="P15" s="483">
        <v>14.257163978296907</v>
      </c>
      <c r="Q15" s="483">
        <v>20.145572961987892</v>
      </c>
      <c r="R15" s="483">
        <v>5.2994153670432933</v>
      </c>
      <c r="S15" s="483">
        <v>36.396625335868265</v>
      </c>
      <c r="T15" s="482">
        <v>0.14518985188284592</v>
      </c>
      <c r="U15" s="482">
        <v>2.6055676989547524E-2</v>
      </c>
      <c r="V15" s="482">
        <v>3.3591319257448515E-2</v>
      </c>
      <c r="W15" s="482">
        <v>0.44385905738871967</v>
      </c>
      <c r="X15" s="482">
        <v>0.18195761920089848</v>
      </c>
      <c r="Y15" s="482">
        <v>0.42604327197368147</v>
      </c>
      <c r="Z15" s="482">
        <v>0.42604327197368153</v>
      </c>
      <c r="AA15" s="484">
        <v>0.12376381090514216</v>
      </c>
    </row>
    <row r="16" spans="1:27" ht="14">
      <c r="A16" s="147" t="s">
        <v>647</v>
      </c>
      <c r="B16" s="268">
        <v>9</v>
      </c>
      <c r="C16" s="482">
        <v>0.26942857142857141</v>
      </c>
      <c r="D16" s="482">
        <v>0.18485745815039542</v>
      </c>
      <c r="E16" s="482">
        <v>0.12062120565621212</v>
      </c>
      <c r="F16" s="482">
        <v>0.18964768401420506</v>
      </c>
      <c r="G16" s="483">
        <v>0.36287690746362616</v>
      </c>
      <c r="H16" s="483">
        <v>0.74074440817775966</v>
      </c>
      <c r="I16" s="482">
        <v>7.2537200604728083E-2</v>
      </c>
      <c r="J16" s="482">
        <v>0.44040713789280422</v>
      </c>
      <c r="K16" s="482">
        <v>5.0672000000000002E-2</v>
      </c>
      <c r="L16" s="482">
        <v>0.59504243085074804</v>
      </c>
      <c r="M16" s="482">
        <v>5.1988480971834165E-2</v>
      </c>
      <c r="N16" s="483">
        <v>0.74339755121213635</v>
      </c>
      <c r="O16" s="483">
        <v>2.0554855256495772</v>
      </c>
      <c r="P16" s="483">
        <v>6.2077663815507576</v>
      </c>
      <c r="Q16" s="483">
        <v>11.267462566320914</v>
      </c>
      <c r="R16" s="483">
        <v>1.3131997350000801</v>
      </c>
      <c r="S16" s="483">
        <v>6.1047952369519889</v>
      </c>
      <c r="T16" s="482">
        <v>1.8977296033657536E-2</v>
      </c>
      <c r="U16" s="482">
        <v>0.12328549570659267</v>
      </c>
      <c r="V16" s="482">
        <v>-7.7895713126700308E-3</v>
      </c>
      <c r="W16" s="482">
        <v>-6.823876146449355E-2</v>
      </c>
      <c r="X16" s="482">
        <v>0.11059819032478371</v>
      </c>
      <c r="Y16" s="482">
        <v>0.33464435789689451</v>
      </c>
      <c r="Z16" s="482">
        <v>0.33464435789689451</v>
      </c>
      <c r="AA16" s="484">
        <v>0.18218073123236797</v>
      </c>
    </row>
    <row r="17" spans="1:27" ht="14">
      <c r="A17" s="147" t="s">
        <v>606</v>
      </c>
      <c r="B17" s="268">
        <v>29</v>
      </c>
      <c r="C17" s="482">
        <v>0.13884705882352943</v>
      </c>
      <c r="D17" s="482">
        <v>2.673718088170194E-2</v>
      </c>
      <c r="E17" s="482">
        <v>3.7245953068641535E-2</v>
      </c>
      <c r="F17" s="482">
        <v>0.35148312805189125</v>
      </c>
      <c r="G17" s="483">
        <v>0.63678306690501063</v>
      </c>
      <c r="H17" s="483">
        <v>1.0122471500989898</v>
      </c>
      <c r="I17" s="482">
        <v>8.4646222894414952E-2</v>
      </c>
      <c r="J17" s="482">
        <v>0.45809706926083432</v>
      </c>
      <c r="K17" s="482">
        <v>5.2913000000000002E-2</v>
      </c>
      <c r="L17" s="482">
        <v>0.49837970537807613</v>
      </c>
      <c r="M17" s="482">
        <v>6.2238337279932075E-2</v>
      </c>
      <c r="N17" s="483">
        <v>1.4901603623923321</v>
      </c>
      <c r="O17" s="483">
        <v>0.84521902008445615</v>
      </c>
      <c r="P17" s="483">
        <v>8.5673406096235798</v>
      </c>
      <c r="Q17" s="483">
        <v>28.976525915260947</v>
      </c>
      <c r="R17" s="483">
        <v>1.1171922155683638</v>
      </c>
      <c r="S17" s="483">
        <v>24.420509593157799</v>
      </c>
      <c r="T17" s="482">
        <v>0.16205830564615067</v>
      </c>
      <c r="U17" s="482">
        <v>6.2281828512661563E-2</v>
      </c>
      <c r="V17" s="482">
        <v>3.9430872104602374E-2</v>
      </c>
      <c r="W17" s="482">
        <v>1.5865275072547198</v>
      </c>
      <c r="X17" s="482">
        <v>-8.2898887312460409E-2</v>
      </c>
      <c r="Y17" s="482">
        <v>4.1316300426625409E-3</v>
      </c>
      <c r="Z17" s="482">
        <v>4.1316300426625929E-3</v>
      </c>
      <c r="AA17" s="484">
        <v>2.8322848728030901E-2</v>
      </c>
    </row>
    <row r="18" spans="1:27" ht="14">
      <c r="A18" s="147" t="s">
        <v>648</v>
      </c>
      <c r="B18" s="268">
        <v>4</v>
      </c>
      <c r="C18" s="482">
        <v>1.4379999999999997E-2</v>
      </c>
      <c r="D18" s="482">
        <v>3.2913267387731621E-2</v>
      </c>
      <c r="E18" s="482">
        <v>4.0542644509719825E-2</v>
      </c>
      <c r="F18" s="482" t="e">
        <v>#DIV/0!</v>
      </c>
      <c r="G18" s="483">
        <v>0.40614323179001943</v>
      </c>
      <c r="H18" s="483">
        <v>0.85070285625625963</v>
      </c>
      <c r="I18" s="482">
        <v>7.7441347389029178E-2</v>
      </c>
      <c r="J18" s="482">
        <v>0.39035200238396089</v>
      </c>
      <c r="K18" s="482">
        <v>5.0672000000000002E-2</v>
      </c>
      <c r="L18" s="482">
        <v>0.63782548961027818</v>
      </c>
      <c r="M18" s="482">
        <v>5.2287201981691019E-2</v>
      </c>
      <c r="N18" s="483">
        <v>1.2651791745792258</v>
      </c>
      <c r="O18" s="483">
        <v>0.84169042598767041</v>
      </c>
      <c r="P18" s="483">
        <v>8.3850601385475141</v>
      </c>
      <c r="Q18" s="483">
        <v>24.686651750693933</v>
      </c>
      <c r="R18" s="483">
        <v>1.0834547900004152</v>
      </c>
      <c r="S18" s="483" t="e">
        <v>#DIV/0!</v>
      </c>
      <c r="T18" s="482">
        <v>0.16693656081179617</v>
      </c>
      <c r="U18" s="482">
        <v>4.329912616889043E-2</v>
      </c>
      <c r="V18" s="482">
        <v>-1.1810237899003919E-2</v>
      </c>
      <c r="W18" s="482">
        <v>-0.45735482683522954</v>
      </c>
      <c r="X18" s="482">
        <v>-0.15302086015967034</v>
      </c>
      <c r="Y18" s="482" t="e">
        <v>#DIV/0!</v>
      </c>
      <c r="Z18" s="482" t="e">
        <v>#DIV/0!</v>
      </c>
      <c r="AA18" s="484">
        <v>3.4353996250800434E-2</v>
      </c>
    </row>
    <row r="19" spans="1:27" ht="14">
      <c r="A19" s="147" t="s">
        <v>607</v>
      </c>
      <c r="B19" s="268">
        <v>59</v>
      </c>
      <c r="C19" s="482">
        <v>8.0353488372093052E-2</v>
      </c>
      <c r="D19" s="482">
        <v>0.12171996795178963</v>
      </c>
      <c r="E19" s="482">
        <v>0.10949443918503624</v>
      </c>
      <c r="F19" s="482">
        <v>0.24738525542012677</v>
      </c>
      <c r="G19" s="483">
        <v>0.82447065860412883</v>
      </c>
      <c r="H19" s="483">
        <v>0.96978288177757488</v>
      </c>
      <c r="I19" s="482">
        <v>8.2752316527279851E-2</v>
      </c>
      <c r="J19" s="482">
        <v>0.42305160954750315</v>
      </c>
      <c r="K19" s="482">
        <v>5.0672000000000002E-2</v>
      </c>
      <c r="L19" s="482">
        <v>0.23007607639659861</v>
      </c>
      <c r="M19" s="482">
        <v>7.2456799435330232E-2</v>
      </c>
      <c r="N19" s="483">
        <v>1.105419408431602</v>
      </c>
      <c r="O19" s="483">
        <v>2.6476145494545156</v>
      </c>
      <c r="P19" s="483">
        <v>13.359261031056754</v>
      </c>
      <c r="Q19" s="483">
        <v>21.300041791694159</v>
      </c>
      <c r="R19" s="483">
        <v>2.4497397359053896</v>
      </c>
      <c r="S19" s="483">
        <v>196.77408940834607</v>
      </c>
      <c r="T19" s="482">
        <v>0.23796513338836098</v>
      </c>
      <c r="U19" s="482">
        <v>8.4753690210263591E-2</v>
      </c>
      <c r="V19" s="482">
        <v>4.0548598938487654E-2</v>
      </c>
      <c r="W19" s="482">
        <v>0.51614040151384999</v>
      </c>
      <c r="X19" s="482">
        <v>3.4987853971055624E-2</v>
      </c>
      <c r="Y19" s="482">
        <v>1.3000935823024555</v>
      </c>
      <c r="Z19" s="482">
        <v>1.3000935823024555</v>
      </c>
      <c r="AA19" s="484">
        <v>0.12453893761725805</v>
      </c>
    </row>
    <row r="20" spans="1:27" ht="14">
      <c r="A20" s="147" t="s">
        <v>649</v>
      </c>
      <c r="B20" s="268">
        <v>16</v>
      </c>
      <c r="C20" s="482">
        <v>0.1923857142857143</v>
      </c>
      <c r="D20" s="482">
        <v>-4.0171813141936595E-2</v>
      </c>
      <c r="E20" s="482">
        <v>-4.7596270133623157E-2</v>
      </c>
      <c r="F20" s="482">
        <v>9.6718480138169249E-2</v>
      </c>
      <c r="G20" s="483">
        <v>1.1824381999346527</v>
      </c>
      <c r="H20" s="483">
        <v>1.0709931914897641</v>
      </c>
      <c r="I20" s="482">
        <v>8.7266296340443472E-2</v>
      </c>
      <c r="J20" s="482">
        <v>0.64314909122165775</v>
      </c>
      <c r="K20" s="482">
        <v>5.2913000000000002E-2</v>
      </c>
      <c r="L20" s="482">
        <v>6.666777815396692E-2</v>
      </c>
      <c r="M20" s="482">
        <v>8.4094140364796094E-2</v>
      </c>
      <c r="N20" s="483">
        <v>1.2912283646149045</v>
      </c>
      <c r="O20" s="483">
        <v>2.5369156934745063</v>
      </c>
      <c r="P20" s="483">
        <v>10.368996250268257</v>
      </c>
      <c r="Q20" s="483" t="s">
        <v>88</v>
      </c>
      <c r="R20" s="483">
        <v>2.2473251040452182</v>
      </c>
      <c r="S20" s="483">
        <v>17.007588937030416</v>
      </c>
      <c r="T20" s="482">
        <v>0.10176223498123434</v>
      </c>
      <c r="U20" s="482">
        <v>9.3624405281098069E-2</v>
      </c>
      <c r="V20" s="482">
        <v>-3.1172027590448428E-2</v>
      </c>
      <c r="W20" s="482" t="s">
        <v>88</v>
      </c>
      <c r="X20" s="482">
        <v>-2.5132407110005538E-2</v>
      </c>
      <c r="Y20" s="482">
        <v>8.1724137931034487E-4</v>
      </c>
      <c r="Z20" s="482">
        <v>8.1724137931038499E-4</v>
      </c>
      <c r="AA20" s="484">
        <v>-3.8444728191895303E-2</v>
      </c>
    </row>
    <row r="21" spans="1:27" ht="14">
      <c r="A21" s="147" t="s">
        <v>479</v>
      </c>
      <c r="B21" s="268">
        <v>64</v>
      </c>
      <c r="C21" s="482">
        <v>0.27099842105263161</v>
      </c>
      <c r="D21" s="482">
        <v>7.4093347459317171E-2</v>
      </c>
      <c r="E21" s="482">
        <v>0.26348563236851774</v>
      </c>
      <c r="F21" s="482">
        <v>0.22563711324361344</v>
      </c>
      <c r="G21" s="483">
        <v>0.96170099898914274</v>
      </c>
      <c r="H21" s="483">
        <v>1.0878559034733686</v>
      </c>
      <c r="I21" s="482">
        <v>8.8018373294912244E-2</v>
      </c>
      <c r="J21" s="482">
        <v>0.5342530314325552</v>
      </c>
      <c r="K21" s="482">
        <v>5.2913000000000002E-2</v>
      </c>
      <c r="L21" s="482">
        <v>0.20064027176963217</v>
      </c>
      <c r="M21" s="482">
        <v>7.8320701981410029E-2</v>
      </c>
      <c r="N21" s="483">
        <v>5.1898906916961591</v>
      </c>
      <c r="O21" s="483">
        <v>1.477094248399097</v>
      </c>
      <c r="P21" s="483">
        <v>14.095049694774538</v>
      </c>
      <c r="Q21" s="483">
        <v>19.251985478998566</v>
      </c>
      <c r="R21" s="483">
        <v>4.7282653079934329</v>
      </c>
      <c r="S21" s="483">
        <v>51.59929505052196</v>
      </c>
      <c r="T21" s="482">
        <v>0.13400221901255505</v>
      </c>
      <c r="U21" s="482">
        <v>9.509770439480392E-3</v>
      </c>
      <c r="V21" s="482">
        <v>1.9117502012224813E-2</v>
      </c>
      <c r="W21" s="482">
        <v>0.44407781086413789</v>
      </c>
      <c r="X21" s="482">
        <v>0.18250592269612659</v>
      </c>
      <c r="Y21" s="482">
        <v>0.50992050715619563</v>
      </c>
      <c r="Z21" s="482">
        <v>0.50992050715619563</v>
      </c>
      <c r="AA21" s="484">
        <v>7.8105530771043777E-2</v>
      </c>
    </row>
    <row r="22" spans="1:27" ht="14">
      <c r="A22" s="147" t="s">
        <v>650</v>
      </c>
      <c r="B22" s="268">
        <v>36</v>
      </c>
      <c r="C22" s="482">
        <v>6.7108695652173908E-2</v>
      </c>
      <c r="D22" s="482">
        <v>0.22484874696685003</v>
      </c>
      <c r="E22" s="482">
        <v>0.44760352743839021</v>
      </c>
      <c r="F22" s="482">
        <v>0.15354539347282112</v>
      </c>
      <c r="G22" s="483">
        <v>1.3245870396777912</v>
      </c>
      <c r="H22" s="483">
        <v>1.3503292085851684</v>
      </c>
      <c r="I22" s="482">
        <v>9.9724682702898512E-2</v>
      </c>
      <c r="J22" s="482">
        <v>0.54576795171788506</v>
      </c>
      <c r="K22" s="482">
        <v>5.2913000000000002E-2</v>
      </c>
      <c r="L22" s="482">
        <v>4.4203103780493629E-2</v>
      </c>
      <c r="M22" s="482">
        <v>9.7070731326658444E-2</v>
      </c>
      <c r="N22" s="483">
        <v>3.6197887497686683</v>
      </c>
      <c r="O22" s="483">
        <v>6.6298031887285918</v>
      </c>
      <c r="P22" s="483">
        <v>25.424491644255795</v>
      </c>
      <c r="Q22" s="483">
        <v>29.358881300093113</v>
      </c>
      <c r="R22" s="483">
        <v>34.082061225436917</v>
      </c>
      <c r="S22" s="483">
        <v>81.131988424750304</v>
      </c>
      <c r="T22" s="482">
        <v>-4.7057418514210192E-2</v>
      </c>
      <c r="U22" s="482">
        <v>2.947135048201252E-2</v>
      </c>
      <c r="V22" s="482">
        <v>2.8994371924491297E-2</v>
      </c>
      <c r="W22" s="482">
        <v>0.21368899754474255</v>
      </c>
      <c r="X22" s="482">
        <v>-1.7413160406024974E-3</v>
      </c>
      <c r="Y22" s="482">
        <v>0.1603021523436578</v>
      </c>
      <c r="Z22" s="482">
        <v>0.16030215234365786</v>
      </c>
      <c r="AA22" s="484">
        <v>0.22923659803850288</v>
      </c>
    </row>
    <row r="23" spans="1:27" ht="14">
      <c r="A23" s="147" t="s">
        <v>651</v>
      </c>
      <c r="B23" s="268">
        <v>40</v>
      </c>
      <c r="C23" s="482">
        <v>0.13703928571428567</v>
      </c>
      <c r="D23" s="482">
        <v>0.15228587966203128</v>
      </c>
      <c r="E23" s="482">
        <v>0.16706062867511484</v>
      </c>
      <c r="F23" s="482">
        <v>0.22547510090802267</v>
      </c>
      <c r="G23" s="483">
        <v>1.0468296973758173</v>
      </c>
      <c r="H23" s="483">
        <v>1.1503560568511637</v>
      </c>
      <c r="I23" s="482">
        <v>9.0805880135561901E-2</v>
      </c>
      <c r="J23" s="482">
        <v>0.35513321135865794</v>
      </c>
      <c r="K23" s="482">
        <v>5.0672000000000002E-2</v>
      </c>
      <c r="L23" s="482">
        <v>0.14981854524871416</v>
      </c>
      <c r="M23" s="482">
        <v>8.2895179267255037E-2</v>
      </c>
      <c r="N23" s="483">
        <v>1.4469463691963746</v>
      </c>
      <c r="O23" s="483">
        <v>3.2317776960093791</v>
      </c>
      <c r="P23" s="483">
        <v>16.818670128219878</v>
      </c>
      <c r="Q23" s="483">
        <v>21.145401988791974</v>
      </c>
      <c r="R23" s="483">
        <v>5.4556033444931957</v>
      </c>
      <c r="S23" s="483">
        <v>42.747570287385393</v>
      </c>
      <c r="T23" s="482">
        <v>0.22558522996952068</v>
      </c>
      <c r="U23" s="482">
        <v>5.5364628383658507E-2</v>
      </c>
      <c r="V23" s="482">
        <v>6.6163120843638859E-2</v>
      </c>
      <c r="W23" s="482">
        <v>0.63007613095891568</v>
      </c>
      <c r="X23" s="482">
        <v>0.22855656826808135</v>
      </c>
      <c r="Y23" s="482">
        <v>0.33492609794429107</v>
      </c>
      <c r="Z23" s="482">
        <v>0.33492609794429107</v>
      </c>
      <c r="AA23" s="484">
        <v>0.15219466551373387</v>
      </c>
    </row>
    <row r="24" spans="1:27" ht="14">
      <c r="A24" s="147" t="s">
        <v>652</v>
      </c>
      <c r="B24" s="268">
        <v>20</v>
      </c>
      <c r="C24" s="482">
        <v>8.9029999999999998E-2</v>
      </c>
      <c r="D24" s="482">
        <v>0.22729326659659724</v>
      </c>
      <c r="E24" s="482">
        <v>0.14821356557111473</v>
      </c>
      <c r="F24" s="482">
        <v>0.17556674557132856</v>
      </c>
      <c r="G24" s="483">
        <v>0.84309626466828824</v>
      </c>
      <c r="H24" s="483">
        <v>0.8809551761105191</v>
      </c>
      <c r="I24" s="482">
        <v>7.8790600854529158E-2</v>
      </c>
      <c r="J24" s="482">
        <v>0.28411723582549719</v>
      </c>
      <c r="K24" s="482">
        <v>4.7306000000000001E-2</v>
      </c>
      <c r="L24" s="482">
        <v>0.13459401557146977</v>
      </c>
      <c r="M24" s="482">
        <v>7.2961185871697157E-2</v>
      </c>
      <c r="N24" s="483">
        <v>0.67605900585754497</v>
      </c>
      <c r="O24" s="483">
        <v>3.0801449685443743</v>
      </c>
      <c r="P24" s="483">
        <v>11.415462094849877</v>
      </c>
      <c r="Q24" s="483">
        <v>13.486470588876516</v>
      </c>
      <c r="R24" s="483">
        <v>1.7829541657731918</v>
      </c>
      <c r="S24" s="483">
        <v>15.731003776902918</v>
      </c>
      <c r="T24" s="482">
        <v>7.7362263909015851E-3</v>
      </c>
      <c r="U24" s="482">
        <v>5.0393138280186413E-2</v>
      </c>
      <c r="V24" s="482">
        <v>2.3158588136211408E-2</v>
      </c>
      <c r="W24" s="482">
        <v>0.18265628701769149</v>
      </c>
      <c r="X24" s="482">
        <v>0.11373244135744745</v>
      </c>
      <c r="Y24" s="482">
        <v>6.5882410942417188E-2</v>
      </c>
      <c r="Z24" s="482">
        <v>6.5882410942417202E-2</v>
      </c>
      <c r="AA24" s="484">
        <v>0.2283328306570388</v>
      </c>
    </row>
    <row r="25" spans="1:27" ht="14">
      <c r="A25" s="147" t="s">
        <v>653</v>
      </c>
      <c r="B25" s="268">
        <v>496</v>
      </c>
      <c r="C25" s="482">
        <v>0.28926777777777768</v>
      </c>
      <c r="D25" s="482">
        <v>8.973321008991049E-2</v>
      </c>
      <c r="E25" s="482">
        <v>3.5253743265585641E-2</v>
      </c>
      <c r="F25" s="482">
        <v>0.1575395745508596</v>
      </c>
      <c r="G25" s="483">
        <v>1.079453865168337</v>
      </c>
      <c r="H25" s="483">
        <v>1.1352650325488571</v>
      </c>
      <c r="I25" s="482">
        <v>9.013282045167903E-2</v>
      </c>
      <c r="J25" s="482">
        <v>0.75679798038806467</v>
      </c>
      <c r="K25" s="482">
        <v>6.0194999999999999E-2</v>
      </c>
      <c r="L25" s="482">
        <v>0.11535593699125279</v>
      </c>
      <c r="M25" s="482">
        <v>8.4943352465202585E-2</v>
      </c>
      <c r="N25" s="483">
        <v>0.81995482629748562</v>
      </c>
      <c r="O25" s="483">
        <v>7.9180455262052387</v>
      </c>
      <c r="P25" s="483">
        <v>15.778971602812438</v>
      </c>
      <c r="Q25" s="483">
        <v>68.971321351653629</v>
      </c>
      <c r="R25" s="483">
        <v>8.2168637516977441</v>
      </c>
      <c r="S25" s="483">
        <v>64.275556778431664</v>
      </c>
      <c r="T25" s="482">
        <v>0.13361481417253054</v>
      </c>
      <c r="U25" s="482">
        <v>3.2863082894968088E-2</v>
      </c>
      <c r="V25" s="482">
        <v>-3.5741804815657557E-2</v>
      </c>
      <c r="W25" s="482">
        <v>-0.45020504417500956</v>
      </c>
      <c r="X25" s="482">
        <v>-5.6722488068671598E-2</v>
      </c>
      <c r="Y25" s="482">
        <v>1.1705552086895756E-3</v>
      </c>
      <c r="Z25" s="482">
        <v>1.1705552086895832E-3</v>
      </c>
      <c r="AA25" s="484">
        <v>8.9533157539079949E-2</v>
      </c>
    </row>
    <row r="26" spans="1:27" ht="14">
      <c r="A26" s="147" t="s">
        <v>654</v>
      </c>
      <c r="B26" s="268">
        <v>228</v>
      </c>
      <c r="C26" s="482">
        <v>0.1844677500000001</v>
      </c>
      <c r="D26" s="482">
        <v>0.29539699980816747</v>
      </c>
      <c r="E26" s="482">
        <v>0.16949548287090127</v>
      </c>
      <c r="F26" s="482">
        <v>0.16800911923646392</v>
      </c>
      <c r="G26" s="483">
        <v>0.91513597348158404</v>
      </c>
      <c r="H26" s="483">
        <v>0.9828330980612211</v>
      </c>
      <c r="I26" s="482">
        <v>8.3334356173530466E-2</v>
      </c>
      <c r="J26" s="482">
        <v>0.76644924406460357</v>
      </c>
      <c r="K26" s="482">
        <v>6.0194999999999999E-2</v>
      </c>
      <c r="L26" s="482">
        <v>0.12692026378326532</v>
      </c>
      <c r="M26" s="482">
        <v>7.8487511664602633E-2</v>
      </c>
      <c r="N26" s="483">
        <v>1.1116585547632123</v>
      </c>
      <c r="O26" s="483">
        <v>6.2393362844695357</v>
      </c>
      <c r="P26" s="483">
        <v>15.247996808426507</v>
      </c>
      <c r="Q26" s="483">
        <v>20.323167412087336</v>
      </c>
      <c r="R26" s="483">
        <v>6.6439639202639897</v>
      </c>
      <c r="S26" s="483">
        <v>55.667674074614986</v>
      </c>
      <c r="T26" s="482">
        <v>0.32088500973891382</v>
      </c>
      <c r="U26" s="482">
        <v>5.5683047369587561E-2</v>
      </c>
      <c r="V26" s="482">
        <v>1.1179218571909871E-2</v>
      </c>
      <c r="W26" s="482">
        <v>9.9973970216585509E-2</v>
      </c>
      <c r="X26" s="482">
        <v>0.24044099573432734</v>
      </c>
      <c r="Y26" s="482">
        <v>0.58634992011001108</v>
      </c>
      <c r="Z26" s="482">
        <v>0.58634992011001108</v>
      </c>
      <c r="AA26" s="484">
        <v>0.27245508744758778</v>
      </c>
    </row>
    <row r="27" spans="1:27" ht="14">
      <c r="A27" s="147" t="s">
        <v>655</v>
      </c>
      <c r="B27" s="268">
        <v>32</v>
      </c>
      <c r="C27" s="482">
        <v>7.7383125000000011E-2</v>
      </c>
      <c r="D27" s="482">
        <v>0.14013177013494141</v>
      </c>
      <c r="E27" s="482">
        <v>0.15944153901851482</v>
      </c>
      <c r="F27" s="482">
        <v>0.30436626387548343</v>
      </c>
      <c r="G27" s="483">
        <v>0.71959982932993805</v>
      </c>
      <c r="H27" s="483">
        <v>0.78090558886125716</v>
      </c>
      <c r="I27" s="482">
        <v>7.4328389263212072E-2</v>
      </c>
      <c r="J27" s="482">
        <v>0.47237751135732181</v>
      </c>
      <c r="K27" s="482">
        <v>5.2913000000000002E-2</v>
      </c>
      <c r="L27" s="482">
        <v>0.19600340205485298</v>
      </c>
      <c r="M27" s="482">
        <v>6.7538118108061429E-2</v>
      </c>
      <c r="N27" s="483">
        <v>1.6274535457682093</v>
      </c>
      <c r="O27" s="483">
        <v>1.9902138121744768</v>
      </c>
      <c r="P27" s="483">
        <v>9.2612839027920799</v>
      </c>
      <c r="Q27" s="483">
        <v>14.486877977037272</v>
      </c>
      <c r="R27" s="483">
        <v>2.6032866615094417</v>
      </c>
      <c r="S27" s="483">
        <v>26.965784711966094</v>
      </c>
      <c r="T27" s="482">
        <v>0.10031098474416356</v>
      </c>
      <c r="U27" s="482">
        <v>2.9724300766397514E-2</v>
      </c>
      <c r="V27" s="482">
        <v>6.4850458796224201E-3</v>
      </c>
      <c r="W27" s="482">
        <v>0.23524495902130976</v>
      </c>
      <c r="X27" s="482">
        <v>0.15904839202146528</v>
      </c>
      <c r="Y27" s="482">
        <v>0.13829432112895118</v>
      </c>
      <c r="Z27" s="482">
        <v>0.13829432112895113</v>
      </c>
      <c r="AA27" s="484">
        <v>0.1374219856741285</v>
      </c>
    </row>
    <row r="28" spans="1:27" ht="14">
      <c r="A28" s="147" t="s">
        <v>656</v>
      </c>
      <c r="B28" s="268">
        <v>112</v>
      </c>
      <c r="C28" s="482">
        <v>0.19174545454545455</v>
      </c>
      <c r="D28" s="482">
        <v>9.5346671011015169E-2</v>
      </c>
      <c r="E28" s="482">
        <v>0.15595603913111394</v>
      </c>
      <c r="F28" s="482">
        <v>0.25179176348277832</v>
      </c>
      <c r="G28" s="483">
        <v>1.1898070318069807</v>
      </c>
      <c r="H28" s="483">
        <v>1.2511238546074688</v>
      </c>
      <c r="I28" s="482">
        <v>9.5300123915493112E-2</v>
      </c>
      <c r="J28" s="482">
        <v>0.72713880161746813</v>
      </c>
      <c r="K28" s="482">
        <v>6.0194999999999999E-2</v>
      </c>
      <c r="L28" s="482">
        <v>0.10716859687946864</v>
      </c>
      <c r="M28" s="482">
        <v>8.9925203619899932E-2</v>
      </c>
      <c r="N28" s="483">
        <v>2.0295289670544729</v>
      </c>
      <c r="O28" s="483">
        <v>4.4207548833730232</v>
      </c>
      <c r="P28" s="483">
        <v>24.586304133467152</v>
      </c>
      <c r="Q28" s="483">
        <v>43.193318228584296</v>
      </c>
      <c r="R28" s="483">
        <v>6.5067316410456382</v>
      </c>
      <c r="S28" s="483">
        <v>80.039611659363928</v>
      </c>
      <c r="T28" s="482">
        <v>0.29437246393917504</v>
      </c>
      <c r="U28" s="482">
        <v>4.7752921315054687E-2</v>
      </c>
      <c r="V28" s="482">
        <v>3.0839959025228011E-2</v>
      </c>
      <c r="W28" s="482">
        <v>0.54682699783450461</v>
      </c>
      <c r="X28" s="482">
        <v>1.5254544403730292E-2</v>
      </c>
      <c r="Y28" s="482">
        <v>2.2968581408749968</v>
      </c>
      <c r="Z28" s="482">
        <v>2.2968581408749968</v>
      </c>
      <c r="AA28" s="484">
        <v>9.9508686123454912E-2</v>
      </c>
    </row>
    <row r="29" spans="1:27" ht="14">
      <c r="A29" s="147" t="s">
        <v>657</v>
      </c>
      <c r="B29" s="268">
        <v>8</v>
      </c>
      <c r="C29" s="482">
        <v>-3.4859999999999995E-2</v>
      </c>
      <c r="D29" s="482">
        <v>-4.488621563380616E-2</v>
      </c>
      <c r="E29" s="482">
        <v>-8.3455147405030905E-2</v>
      </c>
      <c r="F29" s="482" t="e">
        <v>#DIV/0!</v>
      </c>
      <c r="G29" s="483">
        <v>0.9273766123201671</v>
      </c>
      <c r="H29" s="483">
        <v>0.86597801848158107</v>
      </c>
      <c r="I29" s="482">
        <v>7.8122619624278522E-2</v>
      </c>
      <c r="J29" s="482">
        <v>0.7018361349746528</v>
      </c>
      <c r="K29" s="482">
        <v>6.0194999999999999E-2</v>
      </c>
      <c r="L29" s="482">
        <v>5.4858952744234517E-2</v>
      </c>
      <c r="M29" s="482">
        <v>7.6313570521383822E-2</v>
      </c>
      <c r="N29" s="483">
        <v>5.5665464104524291</v>
      </c>
      <c r="O29" s="483">
        <v>0.90983348596663294</v>
      </c>
      <c r="P29" s="483">
        <v>30.697397330329949</v>
      </c>
      <c r="Q29" s="483" t="s">
        <v>88</v>
      </c>
      <c r="R29" s="483">
        <v>3.8520329061857304</v>
      </c>
      <c r="S29" s="483" t="e">
        <v>#DIV/0!</v>
      </c>
      <c r="T29" s="482">
        <v>0.11155603968836578</v>
      </c>
      <c r="U29" s="482">
        <v>1.4296257705999828E-2</v>
      </c>
      <c r="V29" s="482">
        <v>-3.8403387877209205E-2</v>
      </c>
      <c r="W29" s="482" t="s">
        <v>88</v>
      </c>
      <c r="X29" s="482">
        <v>-0.28809279532643722</v>
      </c>
      <c r="Y29" s="482" t="e">
        <v>#DIV/0!</v>
      </c>
      <c r="Z29" s="482" t="e">
        <v>#DIV/0!</v>
      </c>
      <c r="AA29" s="484">
        <v>-6.2642693941217062E-2</v>
      </c>
    </row>
    <row r="30" spans="1:27" ht="14">
      <c r="A30" s="147" t="s">
        <v>608</v>
      </c>
      <c r="B30" s="268">
        <v>114</v>
      </c>
      <c r="C30" s="482">
        <v>7.2683026315789462E-2</v>
      </c>
      <c r="D30" s="482">
        <v>0.1042317781378465</v>
      </c>
      <c r="E30" s="482">
        <v>0.17911725405258233</v>
      </c>
      <c r="F30" s="482">
        <v>0.20322179788284844</v>
      </c>
      <c r="G30" s="483">
        <v>0.93745455958545454</v>
      </c>
      <c r="H30" s="483">
        <v>0.97147713079879416</v>
      </c>
      <c r="I30" s="482">
        <v>8.2827880033626219E-2</v>
      </c>
      <c r="J30" s="482">
        <v>0.51838785247489882</v>
      </c>
      <c r="K30" s="482">
        <v>5.2913000000000002E-2</v>
      </c>
      <c r="L30" s="482">
        <v>9.9194588373333212E-2</v>
      </c>
      <c r="M30" s="482">
        <v>7.8548315008803479E-2</v>
      </c>
      <c r="N30" s="483">
        <v>2.3834942903240259</v>
      </c>
      <c r="O30" s="483">
        <v>3.2061627768537928</v>
      </c>
      <c r="P30" s="483">
        <v>19.991142489797852</v>
      </c>
      <c r="Q30" s="483">
        <v>29.75669159380908</v>
      </c>
      <c r="R30" s="483">
        <v>4.9689676915224181</v>
      </c>
      <c r="S30" s="483">
        <v>48.443351946072887</v>
      </c>
      <c r="T30" s="482">
        <v>0.20917712101227742</v>
      </c>
      <c r="U30" s="482">
        <v>3.3041881822282494E-2</v>
      </c>
      <c r="V30" s="482">
        <v>5.6801346628431969E-2</v>
      </c>
      <c r="W30" s="482">
        <v>0.77176495543711487</v>
      </c>
      <c r="X30" s="482">
        <v>0.12615730756275645</v>
      </c>
      <c r="Y30" s="482">
        <v>0.19877481128012497</v>
      </c>
      <c r="Z30" s="482">
        <v>0.19877481128012497</v>
      </c>
      <c r="AA30" s="484">
        <v>0.10606521971463007</v>
      </c>
    </row>
    <row r="31" spans="1:27" ht="14">
      <c r="A31" s="147" t="s">
        <v>658</v>
      </c>
      <c r="B31" s="268">
        <v>48</v>
      </c>
      <c r="C31" s="482">
        <v>0.11701107142857142</v>
      </c>
      <c r="D31" s="482">
        <v>6.4877214005939696E-2</v>
      </c>
      <c r="E31" s="482">
        <v>0.2531760347582192</v>
      </c>
      <c r="F31" s="482">
        <v>0.23948117402030841</v>
      </c>
      <c r="G31" s="483">
        <v>1.137436783693752</v>
      </c>
      <c r="H31" s="483">
        <v>1.2099722611351151</v>
      </c>
      <c r="I31" s="482">
        <v>9.3464762846626137E-2</v>
      </c>
      <c r="J31" s="482">
        <v>0.45923646317133821</v>
      </c>
      <c r="K31" s="482">
        <v>5.2913000000000002E-2</v>
      </c>
      <c r="L31" s="482">
        <v>0.12289530779385183</v>
      </c>
      <c r="M31" s="482">
        <v>8.6855451614682708E-2</v>
      </c>
      <c r="N31" s="483">
        <v>4.3614486637156373</v>
      </c>
      <c r="O31" s="483">
        <v>1.7350431497835168</v>
      </c>
      <c r="P31" s="483">
        <v>17.179436268509424</v>
      </c>
      <c r="Q31" s="483">
        <v>25.17122209401257</v>
      </c>
      <c r="R31" s="483">
        <v>5.4904686593561198</v>
      </c>
      <c r="S31" s="483">
        <v>63.332048750995547</v>
      </c>
      <c r="T31" s="482">
        <v>0.19376595107839986</v>
      </c>
      <c r="U31" s="482">
        <v>2.2327087989987934E-2</v>
      </c>
      <c r="V31" s="482">
        <v>4.8466669704325782E-2</v>
      </c>
      <c r="W31" s="482">
        <v>1.1244004774956353</v>
      </c>
      <c r="X31" s="482">
        <v>0.2613749950535173</v>
      </c>
      <c r="Y31" s="482">
        <v>8.3295433266014726E-2</v>
      </c>
      <c r="Z31" s="482">
        <v>8.329543326601474E-2</v>
      </c>
      <c r="AA31" s="484">
        <v>6.7570155594760747E-2</v>
      </c>
    </row>
    <row r="32" spans="1:27" ht="14">
      <c r="A32" s="147" t="s">
        <v>480</v>
      </c>
      <c r="B32" s="268">
        <v>92</v>
      </c>
      <c r="C32" s="482">
        <v>0.16430787878787878</v>
      </c>
      <c r="D32" s="482">
        <v>0.10604785218649977</v>
      </c>
      <c r="E32" s="482">
        <v>0.12420599801084616</v>
      </c>
      <c r="F32" s="482">
        <v>0.12604725144204554</v>
      </c>
      <c r="G32" s="483">
        <v>0.76284683078309479</v>
      </c>
      <c r="H32" s="483">
        <v>0.82516963726524373</v>
      </c>
      <c r="I32" s="482">
        <v>7.6302565822029877E-2</v>
      </c>
      <c r="J32" s="482">
        <v>0.48706590208810535</v>
      </c>
      <c r="K32" s="482">
        <v>5.2913000000000002E-2</v>
      </c>
      <c r="L32" s="482">
        <v>0.13729040996772421</v>
      </c>
      <c r="M32" s="482">
        <v>7.1275290875700767E-2</v>
      </c>
      <c r="N32" s="483">
        <v>1.3914059388575721</v>
      </c>
      <c r="O32" s="483">
        <v>4.3338246579297142</v>
      </c>
      <c r="P32" s="483">
        <v>19.411262700130479</v>
      </c>
      <c r="Q32" s="483">
        <v>38.919561022778652</v>
      </c>
      <c r="R32" s="483">
        <v>4.7981015010480519</v>
      </c>
      <c r="S32" s="483">
        <v>108.63059346458422</v>
      </c>
      <c r="T32" s="482">
        <v>4.905050516759029E-3</v>
      </c>
      <c r="U32" s="482">
        <v>4.713952806591256E-2</v>
      </c>
      <c r="V32" s="482">
        <v>-1.2526244421036331E-2</v>
      </c>
      <c r="W32" s="482">
        <v>-0.15551247254089462</v>
      </c>
      <c r="X32" s="482">
        <v>6.0927631113778392E-2</v>
      </c>
      <c r="Y32" s="482">
        <v>0.22878758058060275</v>
      </c>
      <c r="Z32" s="482">
        <v>0.22878758058060278</v>
      </c>
      <c r="AA32" s="484">
        <v>0.10600218052846805</v>
      </c>
    </row>
    <row r="33" spans="1:27" ht="14">
      <c r="A33" s="147" t="s">
        <v>659</v>
      </c>
      <c r="B33" s="268">
        <v>53</v>
      </c>
      <c r="C33" s="482">
        <v>0.21702173913043477</v>
      </c>
      <c r="D33" s="482">
        <v>0.14608556307315398</v>
      </c>
      <c r="E33" s="482">
        <v>0.31754796538384716</v>
      </c>
      <c r="F33" s="482">
        <v>0.20916445044258325</v>
      </c>
      <c r="G33" s="483">
        <v>0.82476909563449707</v>
      </c>
      <c r="H33" s="483">
        <v>0.94548129823775851</v>
      </c>
      <c r="I33" s="482">
        <v>8.166846590140403E-2</v>
      </c>
      <c r="J33" s="482">
        <v>0.54912717099735286</v>
      </c>
      <c r="K33" s="482">
        <v>5.2913000000000002E-2</v>
      </c>
      <c r="L33" s="482">
        <v>0.17659871231529634</v>
      </c>
      <c r="M33" s="482">
        <v>7.4254195735004858E-2</v>
      </c>
      <c r="N33" s="483">
        <v>2.2998509103087397</v>
      </c>
      <c r="O33" s="483">
        <v>3.7006750073018577</v>
      </c>
      <c r="P33" s="483">
        <v>15.613078673514586</v>
      </c>
      <c r="Q33" s="483">
        <v>24.826655138317854</v>
      </c>
      <c r="R33" s="483">
        <v>6.5854585239845767</v>
      </c>
      <c r="S33" s="483">
        <v>66.549565880564558</v>
      </c>
      <c r="T33" s="482">
        <v>0.10038718406730843</v>
      </c>
      <c r="U33" s="482">
        <v>8.2781748386851595E-2</v>
      </c>
      <c r="V33" s="482">
        <v>0.13438402949754219</v>
      </c>
      <c r="W33" s="482">
        <v>1.2140192826751521</v>
      </c>
      <c r="X33" s="482">
        <v>0.19738295948691939</v>
      </c>
      <c r="Y33" s="482">
        <v>0.39802382617858456</v>
      </c>
      <c r="Z33" s="482">
        <v>0.39802382617858456</v>
      </c>
      <c r="AA33" s="484">
        <v>0.14853081408122104</v>
      </c>
    </row>
    <row r="34" spans="1:27" ht="14">
      <c r="A34" s="147" t="s">
        <v>660</v>
      </c>
      <c r="B34" s="268">
        <v>35</v>
      </c>
      <c r="C34" s="482">
        <v>0.14021952380952382</v>
      </c>
      <c r="D34" s="482">
        <v>5.4453187039127465E-2</v>
      </c>
      <c r="E34" s="482">
        <v>7.277942934792668E-2</v>
      </c>
      <c r="F34" s="482">
        <v>0.20340963331647635</v>
      </c>
      <c r="G34" s="483">
        <v>0.8457836746022086</v>
      </c>
      <c r="H34" s="483">
        <v>1.1291737409456368</v>
      </c>
      <c r="I34" s="482">
        <v>8.9861148846175409E-2</v>
      </c>
      <c r="J34" s="482">
        <v>0.50793815806648301</v>
      </c>
      <c r="K34" s="482">
        <v>5.2913000000000002E-2</v>
      </c>
      <c r="L34" s="482">
        <v>0.3414488697161519</v>
      </c>
      <c r="M34" s="482">
        <v>7.2728474173721983E-2</v>
      </c>
      <c r="N34" s="483">
        <v>1.4794345612246376</v>
      </c>
      <c r="O34" s="483">
        <v>1.3401504823361046</v>
      </c>
      <c r="P34" s="483">
        <v>16.037699474903555</v>
      </c>
      <c r="Q34" s="483">
        <v>23.735676346471841</v>
      </c>
      <c r="R34" s="483">
        <v>2.4228669519202914</v>
      </c>
      <c r="S34" s="483">
        <v>19.115989413055647</v>
      </c>
      <c r="T34" s="482">
        <v>0.17273412165746987</v>
      </c>
      <c r="U34" s="482">
        <v>3.8437684702374866E-2</v>
      </c>
      <c r="V34" s="482">
        <v>3.6581592995301671E-2</v>
      </c>
      <c r="W34" s="482">
        <v>0.52612188712009167</v>
      </c>
      <c r="X34" s="482">
        <v>0.1204025921309046</v>
      </c>
      <c r="Y34" s="482">
        <v>0.41442187289793142</v>
      </c>
      <c r="Z34" s="482">
        <v>0.41442187289793142</v>
      </c>
      <c r="AA34" s="484">
        <v>5.6033712404227685E-2</v>
      </c>
    </row>
    <row r="35" spans="1:27" ht="14">
      <c r="A35" s="147" t="s">
        <v>989</v>
      </c>
      <c r="B35" s="268">
        <v>176</v>
      </c>
      <c r="C35" s="482">
        <v>0.11297944444444441</v>
      </c>
      <c r="D35" s="482">
        <v>0.18483867439249571</v>
      </c>
      <c r="E35" s="482" t="s">
        <v>88</v>
      </c>
      <c r="F35" s="482">
        <v>0.19308570373525116</v>
      </c>
      <c r="G35" s="483">
        <v>0.32770838684759396</v>
      </c>
      <c r="H35" s="483">
        <v>0.96971324274449078</v>
      </c>
      <c r="I35" s="482">
        <v>8.2749210626404293E-2</v>
      </c>
      <c r="J35" s="482">
        <v>0.42469192147740364</v>
      </c>
      <c r="K35" s="482">
        <v>5.0672000000000002E-2</v>
      </c>
      <c r="L35" s="482">
        <v>0.7312766809789597</v>
      </c>
      <c r="M35" s="482">
        <v>5.0028081509822887E-2</v>
      </c>
      <c r="N35" s="483">
        <v>7.0855845569848253E-2</v>
      </c>
      <c r="O35" s="483">
        <v>18.905905176324399</v>
      </c>
      <c r="P35" s="483">
        <v>57.523559733661109</v>
      </c>
      <c r="Q35" s="483">
        <v>69.396370817876203</v>
      </c>
      <c r="R35" s="483">
        <v>3.6609227769089809</v>
      </c>
      <c r="S35" s="483">
        <v>26.138389654542657</v>
      </c>
      <c r="T35" s="482">
        <v>11.85998591816597</v>
      </c>
      <c r="U35" s="482">
        <v>2.9854628668958192E-2</v>
      </c>
      <c r="V35" s="482">
        <v>2.380286567733603E-2</v>
      </c>
      <c r="W35" s="482">
        <v>0.14141047544330232</v>
      </c>
      <c r="X35" s="482">
        <v>0.28817318153849353</v>
      </c>
      <c r="Y35" s="482">
        <v>0.1852408141048518</v>
      </c>
      <c r="Z35" s="482">
        <v>0.18524081410485183</v>
      </c>
      <c r="AA35" s="484">
        <v>0.18739294401118736</v>
      </c>
    </row>
    <row r="36" spans="1:27" ht="14">
      <c r="A36" s="147" t="s">
        <v>661</v>
      </c>
      <c r="B36" s="268">
        <v>78</v>
      </c>
      <c r="C36" s="482">
        <v>7.1580217391304352E-2</v>
      </c>
      <c r="D36" s="482">
        <v>0.10630698109862798</v>
      </c>
      <c r="E36" s="482">
        <v>0.15949707214923414</v>
      </c>
      <c r="F36" s="482">
        <v>0.22809725267257513</v>
      </c>
      <c r="G36" s="483">
        <v>0.46942377677075875</v>
      </c>
      <c r="H36" s="483">
        <v>0.60745303780035831</v>
      </c>
      <c r="I36" s="482">
        <v>6.6592405485895984E-2</v>
      </c>
      <c r="J36" s="482">
        <v>0.4346763943257051</v>
      </c>
      <c r="K36" s="482">
        <v>5.0672000000000002E-2</v>
      </c>
      <c r="L36" s="482">
        <v>0.30426970041045764</v>
      </c>
      <c r="M36" s="482">
        <v>5.7893819913489727E-2</v>
      </c>
      <c r="N36" s="483">
        <v>1.7091989611020568</v>
      </c>
      <c r="O36" s="483">
        <v>1.4683157254855188</v>
      </c>
      <c r="P36" s="483">
        <v>10.01197493847315</v>
      </c>
      <c r="Q36" s="483">
        <v>13.605211290558298</v>
      </c>
      <c r="R36" s="483">
        <v>1.7958937888478672</v>
      </c>
      <c r="S36" s="483">
        <v>47.968126344132195</v>
      </c>
      <c r="T36" s="482">
        <v>6.6773491837427895E-2</v>
      </c>
      <c r="U36" s="482">
        <v>3.3009560120217475E-2</v>
      </c>
      <c r="V36" s="482">
        <v>2.2866939296630175E-2</v>
      </c>
      <c r="W36" s="482">
        <v>0.32772573048836728</v>
      </c>
      <c r="X36" s="482">
        <v>4.6041192044067668E-2</v>
      </c>
      <c r="Y36" s="482">
        <v>1.4311110049852744</v>
      </c>
      <c r="Z36" s="482">
        <v>1.4311110049852744</v>
      </c>
      <c r="AA36" s="484">
        <v>0.10737650905057096</v>
      </c>
    </row>
    <row r="37" spans="1:27" ht="14">
      <c r="A37" s="147" t="s">
        <v>662</v>
      </c>
      <c r="B37" s="268">
        <v>13</v>
      </c>
      <c r="C37" s="482">
        <v>0.13276666666666667</v>
      </c>
      <c r="D37" s="482">
        <v>2.6134886467402488E-2</v>
      </c>
      <c r="E37" s="482">
        <v>0.17837019301943033</v>
      </c>
      <c r="F37" s="482">
        <v>0.23676102795546677</v>
      </c>
      <c r="G37" s="483">
        <v>0.64775981416785178</v>
      </c>
      <c r="H37" s="483">
        <v>0.86664163865866495</v>
      </c>
      <c r="I37" s="482">
        <v>7.8152217084176467E-2</v>
      </c>
      <c r="J37" s="482">
        <v>0.33978224154359921</v>
      </c>
      <c r="K37" s="482">
        <v>5.0672000000000002E-2</v>
      </c>
      <c r="L37" s="482">
        <v>0.31958232466907338</v>
      </c>
      <c r="M37" s="482">
        <v>6.5321556537096745E-2</v>
      </c>
      <c r="N37" s="483">
        <v>7.7129095873177826</v>
      </c>
      <c r="O37" s="483">
        <v>0.45685204851364397</v>
      </c>
      <c r="P37" s="483">
        <v>11.075252232041779</v>
      </c>
      <c r="Q37" s="483">
        <v>17.944483002972046</v>
      </c>
      <c r="R37" s="483">
        <v>4.8785548261225644</v>
      </c>
      <c r="S37" s="483">
        <v>26.802893083591172</v>
      </c>
      <c r="T37" s="482">
        <v>5.6230030407039285E-2</v>
      </c>
      <c r="U37" s="482">
        <v>1.0065459071835552E-2</v>
      </c>
      <c r="V37" s="482">
        <v>1.5039535872963999E-2</v>
      </c>
      <c r="W37" s="482">
        <v>0.81337780169340068</v>
      </c>
      <c r="X37" s="482">
        <v>0.18220724511066666</v>
      </c>
      <c r="Y37" s="482">
        <v>0.3807473643539217</v>
      </c>
      <c r="Z37" s="482">
        <v>0.38074736435392165</v>
      </c>
      <c r="AA37" s="484">
        <v>2.5456148145276011E-2</v>
      </c>
    </row>
    <row r="38" spans="1:27" ht="14">
      <c r="A38" s="147" t="s">
        <v>663</v>
      </c>
      <c r="B38" s="268">
        <v>27</v>
      </c>
      <c r="C38" s="482">
        <v>9.8738095238095278E-3</v>
      </c>
      <c r="D38" s="482">
        <v>6.5856618584879817E-2</v>
      </c>
      <c r="E38" s="482">
        <v>0.10587428912659751</v>
      </c>
      <c r="F38" s="482">
        <v>0.29077657389467731</v>
      </c>
      <c r="G38" s="483">
        <v>0.65213037044009325</v>
      </c>
      <c r="H38" s="483">
        <v>0.82315847400170816</v>
      </c>
      <c r="I38" s="482">
        <v>7.6212867940476187E-2</v>
      </c>
      <c r="J38" s="482">
        <v>0.51509862739811807</v>
      </c>
      <c r="K38" s="482">
        <v>5.2913000000000002E-2</v>
      </c>
      <c r="L38" s="482">
        <v>0.2974240911279325</v>
      </c>
      <c r="M38" s="482">
        <v>6.5348525661416135E-2</v>
      </c>
      <c r="N38" s="483">
        <v>1.958544127171312</v>
      </c>
      <c r="O38" s="483">
        <v>1.3327990096564892</v>
      </c>
      <c r="P38" s="483">
        <v>11.273819550114272</v>
      </c>
      <c r="Q38" s="483">
        <v>19.14514049519137</v>
      </c>
      <c r="R38" s="483">
        <v>2.4531884993342641</v>
      </c>
      <c r="S38" s="483">
        <v>17.383524683950618</v>
      </c>
      <c r="T38" s="482">
        <v>0.15730316848237935</v>
      </c>
      <c r="U38" s="482">
        <v>2.4513853848001466E-2</v>
      </c>
      <c r="V38" s="482">
        <v>5.8771048892976907E-2</v>
      </c>
      <c r="W38" s="482">
        <v>1.400632775995067</v>
      </c>
      <c r="X38" s="482">
        <v>3.1074150773032081E-2</v>
      </c>
      <c r="Y38" s="482">
        <v>1.0812222088995695</v>
      </c>
      <c r="Z38" s="482">
        <v>1.0812222088995695</v>
      </c>
      <c r="AA38" s="484">
        <v>6.7999744199474313E-2</v>
      </c>
    </row>
    <row r="39" spans="1:27" ht="14">
      <c r="A39" s="147" t="s">
        <v>664</v>
      </c>
      <c r="B39" s="268">
        <v>15</v>
      </c>
      <c r="C39" s="482">
        <v>0.17101999999999998</v>
      </c>
      <c r="D39" s="482">
        <v>0.19872603268162603</v>
      </c>
      <c r="E39" s="482">
        <v>3.6367416094179386E-2</v>
      </c>
      <c r="F39" s="482">
        <v>0</v>
      </c>
      <c r="G39" s="483">
        <v>0.47228416765361608</v>
      </c>
      <c r="H39" s="483">
        <v>0.8563295187054536</v>
      </c>
      <c r="I39" s="482">
        <v>7.7692296534263239E-2</v>
      </c>
      <c r="J39" s="482">
        <v>0.6514340075377375</v>
      </c>
      <c r="K39" s="482">
        <v>6.0194999999999999E-2</v>
      </c>
      <c r="L39" s="482">
        <v>0.53075789820239361</v>
      </c>
      <c r="M39" s="482">
        <v>6.0418225280940388E-2</v>
      </c>
      <c r="N39" s="483">
        <v>0.19799484289124869</v>
      </c>
      <c r="O39" s="483">
        <v>7.8656929695991451</v>
      </c>
      <c r="P39" s="483">
        <v>13.443716808217077</v>
      </c>
      <c r="Q39" s="483">
        <v>42.625568373279656</v>
      </c>
      <c r="R39" s="483">
        <v>1.2628660112733221</v>
      </c>
      <c r="S39" s="483">
        <v>32.249593953023492</v>
      </c>
      <c r="T39" s="482">
        <v>-1.1429114741297663</v>
      </c>
      <c r="U39" s="482">
        <v>0.31895685377569488</v>
      </c>
      <c r="V39" s="482">
        <v>9.0073723118509391E-2</v>
      </c>
      <c r="W39" s="482">
        <v>0.63819613222831428</v>
      </c>
      <c r="X39" s="482">
        <v>-7.357137161316149E-2</v>
      </c>
      <c r="Y39" s="482">
        <v>1.2899800099950027E-3</v>
      </c>
      <c r="Z39" s="482">
        <v>1.2899800099950287E-3</v>
      </c>
      <c r="AA39" s="484">
        <v>0.18379736920400169</v>
      </c>
    </row>
    <row r="40" spans="1:27" ht="14">
      <c r="A40" s="147" t="s">
        <v>665</v>
      </c>
      <c r="B40" s="268">
        <v>204</v>
      </c>
      <c r="C40" s="482">
        <v>0.18410674796747967</v>
      </c>
      <c r="D40" s="482">
        <v>0.15338997022486925</v>
      </c>
      <c r="E40" s="482">
        <v>0.16980778635574598</v>
      </c>
      <c r="F40" s="482">
        <v>0.12774023706720808</v>
      </c>
      <c r="G40" s="483">
        <v>0.85694779586615211</v>
      </c>
      <c r="H40" s="483">
        <v>0.9085611350704943</v>
      </c>
      <c r="I40" s="482">
        <v>8.0021826624144046E-2</v>
      </c>
      <c r="J40" s="482">
        <v>0.61790589954129371</v>
      </c>
      <c r="K40" s="482">
        <v>5.2913000000000002E-2</v>
      </c>
      <c r="L40" s="482">
        <v>0.11335851795439207</v>
      </c>
      <c r="M40" s="482">
        <v>7.5449275399418328E-2</v>
      </c>
      <c r="N40" s="483">
        <v>1.476950489760035</v>
      </c>
      <c r="O40" s="483">
        <v>4.762600760397512</v>
      </c>
      <c r="P40" s="483">
        <v>19.778036576870928</v>
      </c>
      <c r="Q40" s="483">
        <v>29.989275458843494</v>
      </c>
      <c r="R40" s="483">
        <v>4.4351038092908013</v>
      </c>
      <c r="S40" s="483">
        <v>43.065162700298238</v>
      </c>
      <c r="T40" s="482">
        <v>0.25652591525599155</v>
      </c>
      <c r="U40" s="482">
        <v>3.9885897606862952E-2</v>
      </c>
      <c r="V40" s="482">
        <v>4.5266300529700154E-2</v>
      </c>
      <c r="W40" s="482">
        <v>0.45993629154938714</v>
      </c>
      <c r="X40" s="482">
        <v>0.11260003642281874</v>
      </c>
      <c r="Y40" s="482">
        <v>0.35640707755437773</v>
      </c>
      <c r="Z40" s="482">
        <v>0.35640707755437773</v>
      </c>
      <c r="AA40" s="484">
        <v>0.15829837169296193</v>
      </c>
    </row>
    <row r="41" spans="1:27" ht="14">
      <c r="A41" s="147" t="s">
        <v>666</v>
      </c>
      <c r="B41" s="268">
        <v>104</v>
      </c>
      <c r="C41" s="482">
        <v>0.13121750000000001</v>
      </c>
      <c r="D41" s="482">
        <v>2.9984058788044197E-2</v>
      </c>
      <c r="E41" s="482">
        <v>0.31192966548467982</v>
      </c>
      <c r="F41" s="482">
        <v>0.2299540044260435</v>
      </c>
      <c r="G41" s="483">
        <v>0.74487505747396876</v>
      </c>
      <c r="H41" s="483">
        <v>0.87195388733993329</v>
      </c>
      <c r="I41" s="482">
        <v>7.8389143375361028E-2</v>
      </c>
      <c r="J41" s="482">
        <v>0.47240032307194035</v>
      </c>
      <c r="K41" s="482">
        <v>5.2913000000000002E-2</v>
      </c>
      <c r="L41" s="482">
        <v>0.26158564118361594</v>
      </c>
      <c r="M41" s="482">
        <v>6.8264629817644321E-2</v>
      </c>
      <c r="N41" s="483">
        <v>11.746627443364762</v>
      </c>
      <c r="O41" s="483">
        <v>0.45778331362617514</v>
      </c>
      <c r="P41" s="483">
        <v>11.16882502236794</v>
      </c>
      <c r="Q41" s="483">
        <v>15.022049555900349</v>
      </c>
      <c r="R41" s="483">
        <v>2.7955721569283822</v>
      </c>
      <c r="S41" s="483">
        <v>83.766608826166504</v>
      </c>
      <c r="T41" s="482">
        <v>-5.7878368023873188E-2</v>
      </c>
      <c r="U41" s="482">
        <v>5.6454073820381432E-3</v>
      </c>
      <c r="V41" s="482">
        <v>8.6568477267626506E-3</v>
      </c>
      <c r="W41" s="482">
        <v>0.50714607186385319</v>
      </c>
      <c r="X41" s="482">
        <v>9.8917912885418971E-2</v>
      </c>
      <c r="Y41" s="482">
        <v>0.49369259969710388</v>
      </c>
      <c r="Z41" s="482">
        <v>0.49369259969710388</v>
      </c>
      <c r="AA41" s="484">
        <v>3.0052870426871388E-2</v>
      </c>
    </row>
    <row r="42" spans="1:27" ht="14">
      <c r="A42" s="147" t="s">
        <v>667</v>
      </c>
      <c r="B42" s="268">
        <v>115</v>
      </c>
      <c r="C42" s="482">
        <v>0.15573530303030306</v>
      </c>
      <c r="D42" s="482">
        <v>0.14709485588235541</v>
      </c>
      <c r="E42" s="482">
        <v>0.13716783348113318</v>
      </c>
      <c r="F42" s="482">
        <v>0.15096664971111606</v>
      </c>
      <c r="G42" s="483">
        <v>1.0163250326283351</v>
      </c>
      <c r="H42" s="483">
        <v>1.1083338991481437</v>
      </c>
      <c r="I42" s="482">
        <v>8.8931691902007212E-2</v>
      </c>
      <c r="J42" s="482">
        <v>0.63780021224444727</v>
      </c>
      <c r="K42" s="482">
        <v>5.2913000000000002E-2</v>
      </c>
      <c r="L42" s="482">
        <v>0.13600450035059872</v>
      </c>
      <c r="M42" s="482">
        <v>8.2233886174829754E-2</v>
      </c>
      <c r="N42" s="483">
        <v>1.2456990696967301</v>
      </c>
      <c r="O42" s="483">
        <v>5.3091884213580105</v>
      </c>
      <c r="P42" s="483">
        <v>21.272127158112443</v>
      </c>
      <c r="Q42" s="483">
        <v>34.762160796037399</v>
      </c>
      <c r="R42" s="483">
        <v>4.002238560460353</v>
      </c>
      <c r="S42" s="483">
        <v>506.54686870211623</v>
      </c>
      <c r="T42" s="482">
        <v>0.23527585900259143</v>
      </c>
      <c r="U42" s="482">
        <v>3.8932629085333681E-2</v>
      </c>
      <c r="V42" s="482">
        <v>9.2157948245841573E-3</v>
      </c>
      <c r="W42" s="482">
        <v>0.12116668188545907</v>
      </c>
      <c r="X42" s="482">
        <v>6.397363703274217E-2</v>
      </c>
      <c r="Y42" s="482">
        <v>0.16849318863551691</v>
      </c>
      <c r="Z42" s="482">
        <v>0.16849318863551688</v>
      </c>
      <c r="AA42" s="484">
        <v>0.14794312196370288</v>
      </c>
    </row>
    <row r="43" spans="1:27" ht="14">
      <c r="A43" s="147" t="s">
        <v>668</v>
      </c>
      <c r="B43" s="268">
        <v>30</v>
      </c>
      <c r="C43" s="482">
        <v>9.8721739130434791E-2</v>
      </c>
      <c r="D43" s="482">
        <v>0.12574952723040009</v>
      </c>
      <c r="E43" s="482">
        <v>0.14908128793492281</v>
      </c>
      <c r="F43" s="482">
        <v>0.23671663798303069</v>
      </c>
      <c r="G43" s="483">
        <v>0.85322307987439294</v>
      </c>
      <c r="H43" s="483">
        <v>0.91061781327488456</v>
      </c>
      <c r="I43" s="482">
        <v>8.0113554472059853E-2</v>
      </c>
      <c r="J43" s="482">
        <v>0.32794046675316896</v>
      </c>
      <c r="K43" s="482">
        <v>5.0672000000000002E-2</v>
      </c>
      <c r="L43" s="482">
        <v>0.17589764695236668</v>
      </c>
      <c r="M43" s="482">
        <v>7.2706582926212016E-2</v>
      </c>
      <c r="N43" s="483">
        <v>1.4215189273359097</v>
      </c>
      <c r="O43" s="483">
        <v>1.1916269386724603</v>
      </c>
      <c r="P43" s="483">
        <v>8.918125636141264</v>
      </c>
      <c r="Q43" s="483">
        <v>9.4319205047433528</v>
      </c>
      <c r="R43" s="483">
        <v>1.6330949800418872</v>
      </c>
      <c r="S43" s="483">
        <v>11.453496315687763</v>
      </c>
      <c r="T43" s="482">
        <v>0.61646351023604773</v>
      </c>
      <c r="U43" s="482">
        <v>4.8812504532081448E-3</v>
      </c>
      <c r="V43" s="482">
        <v>6.8278514674606407E-3</v>
      </c>
      <c r="W43" s="482">
        <v>0.31028811699328951</v>
      </c>
      <c r="X43" s="482">
        <v>0.14231430358554786</v>
      </c>
      <c r="Y43" s="482">
        <v>9.5721885888833347E-2</v>
      </c>
      <c r="Z43" s="482">
        <v>9.5721885888833347E-2</v>
      </c>
      <c r="AA43" s="484">
        <v>0.12633855565477978</v>
      </c>
    </row>
    <row r="44" spans="1:27" ht="14">
      <c r="A44" s="147" t="s">
        <v>669</v>
      </c>
      <c r="B44" s="268">
        <v>31</v>
      </c>
      <c r="C44" s="482">
        <v>0.15944588235294119</v>
      </c>
      <c r="D44" s="482">
        <v>0.13356558024682816</v>
      </c>
      <c r="E44" s="482">
        <v>0.22163970318779982</v>
      </c>
      <c r="F44" s="482">
        <v>0.21328220431949529</v>
      </c>
      <c r="G44" s="483">
        <v>0.56485887182878791</v>
      </c>
      <c r="H44" s="483">
        <v>0.79967833140276245</v>
      </c>
      <c r="I44" s="482">
        <v>7.5165653580563208E-2</v>
      </c>
      <c r="J44" s="482">
        <v>0.56456947375556776</v>
      </c>
      <c r="K44" s="482">
        <v>5.2913000000000002E-2</v>
      </c>
      <c r="L44" s="482">
        <v>0.3746888451798786</v>
      </c>
      <c r="M44" s="482">
        <v>6.187135479202336E-2</v>
      </c>
      <c r="N44" s="483">
        <v>1.9503085156367479</v>
      </c>
      <c r="O44" s="483">
        <v>1.6887450167827869</v>
      </c>
      <c r="P44" s="483">
        <v>8.8640214167450289</v>
      </c>
      <c r="Q44" s="483">
        <v>13.11546361352196</v>
      </c>
      <c r="R44" s="483">
        <v>5.6227362925153948</v>
      </c>
      <c r="S44" s="483">
        <v>18.804233489397635</v>
      </c>
      <c r="T44" s="482">
        <v>0.10483507614543777</v>
      </c>
      <c r="U44" s="482">
        <v>5.9521580895329086E-2</v>
      </c>
      <c r="V44" s="482">
        <v>2.9611844166866057E-2</v>
      </c>
      <c r="W44" s="482">
        <v>0.33909534063860475</v>
      </c>
      <c r="X44" s="482">
        <v>0.50836280281543411</v>
      </c>
      <c r="Y44" s="482">
        <v>9.3353831750772887E-2</v>
      </c>
      <c r="Z44" s="482">
        <v>9.3353831750772942E-2</v>
      </c>
      <c r="AA44" s="484">
        <v>0.12855319636010312</v>
      </c>
    </row>
    <row r="45" spans="1:27" ht="14">
      <c r="A45" s="147" t="s">
        <v>670</v>
      </c>
      <c r="B45" s="268">
        <v>63</v>
      </c>
      <c r="C45" s="482">
        <v>0.21817099999999992</v>
      </c>
      <c r="D45" s="482">
        <v>0.19387993488144581</v>
      </c>
      <c r="E45" s="482">
        <v>0.14575119045322596</v>
      </c>
      <c r="F45" s="482">
        <v>0.16615162394642624</v>
      </c>
      <c r="G45" s="483">
        <v>0.87568844277975555</v>
      </c>
      <c r="H45" s="483">
        <v>1.0803675683074194</v>
      </c>
      <c r="I45" s="482">
        <v>8.7684393546510905E-2</v>
      </c>
      <c r="J45" s="482">
        <v>0.39653351969812761</v>
      </c>
      <c r="K45" s="482">
        <v>5.0672000000000002E-2</v>
      </c>
      <c r="L45" s="482">
        <v>0.28443753198625027</v>
      </c>
      <c r="M45" s="482">
        <v>7.3553425018035717E-2</v>
      </c>
      <c r="N45" s="483">
        <v>1.0398999558513293</v>
      </c>
      <c r="O45" s="483">
        <v>4.3270761423895658</v>
      </c>
      <c r="P45" s="483">
        <v>14.932670744376049</v>
      </c>
      <c r="Q45" s="483">
        <v>25.710681771598953</v>
      </c>
      <c r="R45" s="483">
        <v>12.303472671975985</v>
      </c>
      <c r="S45" s="483">
        <v>46.603339458991762</v>
      </c>
      <c r="T45" s="482">
        <v>7.6629538967434921E-3</v>
      </c>
      <c r="U45" s="482">
        <v>7.3417001650355584E-2</v>
      </c>
      <c r="V45" s="482">
        <v>2.5178245295240296E-2</v>
      </c>
      <c r="W45" s="482">
        <v>0.25374823288320641</v>
      </c>
      <c r="X45" s="482">
        <v>0.45383267360208451</v>
      </c>
      <c r="Y45" s="482">
        <v>0.18280476639398149</v>
      </c>
      <c r="Z45" s="482">
        <v>0.18280476639398147</v>
      </c>
      <c r="AA45" s="484">
        <v>0.16594541867983212</v>
      </c>
    </row>
    <row r="46" spans="1:27" ht="14">
      <c r="A46" s="147" t="s">
        <v>671</v>
      </c>
      <c r="B46" s="268">
        <v>110</v>
      </c>
      <c r="C46" s="482">
        <v>8.0873829787234064E-2</v>
      </c>
      <c r="D46" s="482">
        <v>0.1862488237477741</v>
      </c>
      <c r="E46" s="482">
        <v>0.34419837512001855</v>
      </c>
      <c r="F46" s="482">
        <v>0.20731495457637963</v>
      </c>
      <c r="G46" s="483">
        <v>0.74107692870974939</v>
      </c>
      <c r="H46" s="483">
        <v>0.81551582513241538</v>
      </c>
      <c r="I46" s="482">
        <v>7.5872005800905723E-2</v>
      </c>
      <c r="J46" s="482">
        <v>0.55463786398065251</v>
      </c>
      <c r="K46" s="482">
        <v>5.2913000000000002E-2</v>
      </c>
      <c r="L46" s="482">
        <v>0.15360129208720896</v>
      </c>
      <c r="M46" s="482">
        <v>7.0313596552796245E-2</v>
      </c>
      <c r="N46" s="483">
        <v>2.2144292627404347</v>
      </c>
      <c r="O46" s="483">
        <v>3.0594681487260349</v>
      </c>
      <c r="P46" s="483">
        <v>13.173520164126762</v>
      </c>
      <c r="Q46" s="483">
        <v>16.254913254213282</v>
      </c>
      <c r="R46" s="483">
        <v>5.8470900558504706</v>
      </c>
      <c r="S46" s="483">
        <v>33.071795886517144</v>
      </c>
      <c r="T46" s="482">
        <v>6.0060837883944382E-2</v>
      </c>
      <c r="U46" s="482">
        <v>3.7914432240721573E-2</v>
      </c>
      <c r="V46" s="482">
        <v>1.1319961336635119E-2</v>
      </c>
      <c r="W46" s="482">
        <v>7.7576409894996021E-2</v>
      </c>
      <c r="X46" s="482">
        <v>0.27021197239353523</v>
      </c>
      <c r="Y46" s="482">
        <v>0.67246273715306815</v>
      </c>
      <c r="Z46" s="482">
        <v>0.67246273715306815</v>
      </c>
      <c r="AA46" s="484">
        <v>0.18810977498421766</v>
      </c>
    </row>
    <row r="47" spans="1:27" ht="14">
      <c r="A47" s="147" t="s">
        <v>672</v>
      </c>
      <c r="B47" s="268">
        <v>15</v>
      </c>
      <c r="C47" s="482">
        <v>6.7709090909090913E-2</v>
      </c>
      <c r="D47" s="482">
        <v>0.11886021643397382</v>
      </c>
      <c r="E47" s="482">
        <v>0.22174300421939269</v>
      </c>
      <c r="F47" s="482">
        <v>0.21739341477226753</v>
      </c>
      <c r="G47" s="483">
        <v>0.75635635759716424</v>
      </c>
      <c r="H47" s="483">
        <v>0.92056732348508041</v>
      </c>
      <c r="I47" s="482">
        <v>8.0557302627434588E-2</v>
      </c>
      <c r="J47" s="482">
        <v>0.32375244548022786</v>
      </c>
      <c r="K47" s="482">
        <v>5.0672000000000002E-2</v>
      </c>
      <c r="L47" s="482">
        <v>0.24907927198165059</v>
      </c>
      <c r="M47" s="482">
        <v>6.9958156988578324E-2</v>
      </c>
      <c r="N47" s="483">
        <v>2.5121429063366998</v>
      </c>
      <c r="O47" s="483">
        <v>2.2125353891144477</v>
      </c>
      <c r="P47" s="483">
        <v>11.498322009159963</v>
      </c>
      <c r="Q47" s="483">
        <v>17.766516582087498</v>
      </c>
      <c r="R47" s="483">
        <v>3.7949389473221435</v>
      </c>
      <c r="S47" s="483">
        <v>24.917027503636273</v>
      </c>
      <c r="T47" s="482">
        <v>0.16621255356543385</v>
      </c>
      <c r="U47" s="482">
        <v>1.9042141432492742E-2</v>
      </c>
      <c r="V47" s="482">
        <v>-2.8717169572858893E-2</v>
      </c>
      <c r="W47" s="482">
        <v>-0.26789020889658832</v>
      </c>
      <c r="X47" s="482">
        <v>0.149460900440439</v>
      </c>
      <c r="Y47" s="482">
        <v>0.32067334972574241</v>
      </c>
      <c r="Z47" s="482">
        <v>0.32067334972574235</v>
      </c>
      <c r="AA47" s="484">
        <v>0.12471997049954972</v>
      </c>
    </row>
    <row r="48" spans="1:27" ht="14">
      <c r="A48" s="147" t="s">
        <v>990</v>
      </c>
      <c r="B48" s="268">
        <v>21</v>
      </c>
      <c r="C48" s="482">
        <v>0.11827769230769231</v>
      </c>
      <c r="D48" s="482">
        <v>0.21312825642510547</v>
      </c>
      <c r="E48" s="482">
        <v>0.44506099588263831</v>
      </c>
      <c r="F48" s="482">
        <v>0.22319671990341941</v>
      </c>
      <c r="G48" s="483">
        <v>0.57807242620462518</v>
      </c>
      <c r="H48" s="483">
        <v>0.67197504224081062</v>
      </c>
      <c r="I48" s="482">
        <v>6.9470086883940158E-2</v>
      </c>
      <c r="J48" s="482">
        <v>0.46070163153831001</v>
      </c>
      <c r="K48" s="482">
        <v>5.2913000000000002E-2</v>
      </c>
      <c r="L48" s="482">
        <v>0.20399666009576656</v>
      </c>
      <c r="M48" s="482">
        <v>6.3393977639789129E-2</v>
      </c>
      <c r="N48" s="483">
        <v>2.4099775661530343</v>
      </c>
      <c r="O48" s="483">
        <v>4.3240476028818051</v>
      </c>
      <c r="P48" s="483">
        <v>15.757904857302774</v>
      </c>
      <c r="Q48" s="483">
        <v>20.099906084076959</v>
      </c>
      <c r="R48" s="483">
        <v>3.451731948410647</v>
      </c>
      <c r="S48" s="483">
        <v>33.964475083861473</v>
      </c>
      <c r="T48" s="482">
        <v>0.26538097870436145</v>
      </c>
      <c r="U48" s="482">
        <v>1.1376538822641643E-2</v>
      </c>
      <c r="V48" s="482">
        <v>0.55043013152930231</v>
      </c>
      <c r="W48" s="482">
        <v>3.2420725392081522</v>
      </c>
      <c r="X48" s="482">
        <v>0.19071656336250301</v>
      </c>
      <c r="Y48" s="482">
        <v>0.36642209747867588</v>
      </c>
      <c r="Z48" s="482">
        <v>0.36642209747867582</v>
      </c>
      <c r="AA48" s="484">
        <v>0.21456995593877076</v>
      </c>
    </row>
    <row r="49" spans="1:27" ht="14">
      <c r="A49" s="147" t="s">
        <v>673</v>
      </c>
      <c r="B49" s="268">
        <v>20</v>
      </c>
      <c r="C49" s="482">
        <v>2.5189999999999997E-2</v>
      </c>
      <c r="D49" s="482">
        <v>0.10613219864364459</v>
      </c>
      <c r="E49" s="482">
        <v>0.1076576568830416</v>
      </c>
      <c r="F49" s="482">
        <v>0.18676810125741239</v>
      </c>
      <c r="G49" s="483">
        <v>0.53174800652757681</v>
      </c>
      <c r="H49" s="483">
        <v>0.64449309251802667</v>
      </c>
      <c r="I49" s="482">
        <v>6.8244391926303993E-2</v>
      </c>
      <c r="J49" s="482">
        <v>0.35151934226314591</v>
      </c>
      <c r="K49" s="482">
        <v>5.0672000000000002E-2</v>
      </c>
      <c r="L49" s="482">
        <v>0.40419403701823831</v>
      </c>
      <c r="M49" s="482">
        <v>5.6021405832597446E-2</v>
      </c>
      <c r="N49" s="483">
        <v>1.1921280841591642</v>
      </c>
      <c r="O49" s="483">
        <v>1.2838249224747278</v>
      </c>
      <c r="P49" s="483">
        <v>12.522466672718679</v>
      </c>
      <c r="Q49" s="483">
        <v>11.695609541397138</v>
      </c>
      <c r="R49" s="483">
        <v>1.4341165046725473</v>
      </c>
      <c r="S49" s="483">
        <v>12.557446866578934</v>
      </c>
      <c r="T49" s="482">
        <v>0.23166860230403027</v>
      </c>
      <c r="U49" s="482">
        <v>1.7235710892871798E-3</v>
      </c>
      <c r="V49" s="482">
        <v>3.1746773868646908E-3</v>
      </c>
      <c r="W49" s="482">
        <v>5.3138640308018598E-2</v>
      </c>
      <c r="X49" s="482">
        <v>0.12873529635151773</v>
      </c>
      <c r="Y49" s="482">
        <v>0.3360679830191276</v>
      </c>
      <c r="Z49" s="482">
        <v>0.33606798301912755</v>
      </c>
      <c r="AA49" s="484">
        <v>0.10647669164266632</v>
      </c>
    </row>
    <row r="50" spans="1:27" ht="14">
      <c r="A50" s="147" t="s">
        <v>991</v>
      </c>
      <c r="B50" s="268">
        <v>57</v>
      </c>
      <c r="C50" s="482">
        <v>8.764183673469389E-2</v>
      </c>
      <c r="D50" s="482">
        <v>0.15254114570116309</v>
      </c>
      <c r="E50" s="482">
        <v>0.18488979223477825</v>
      </c>
      <c r="F50" s="482">
        <v>0.21588899745664292</v>
      </c>
      <c r="G50" s="483">
        <v>0.45702349492314559</v>
      </c>
      <c r="H50" s="483">
        <v>0.48411001512890489</v>
      </c>
      <c r="I50" s="482">
        <v>6.1091306674749157E-2</v>
      </c>
      <c r="J50" s="482">
        <v>0.28696879528535113</v>
      </c>
      <c r="K50" s="482">
        <v>4.7306000000000001E-2</v>
      </c>
      <c r="L50" s="482">
        <v>0.12914202889948714</v>
      </c>
      <c r="M50" s="482">
        <v>5.7783745996990626E-2</v>
      </c>
      <c r="N50" s="483">
        <v>1.4802983119047362</v>
      </c>
      <c r="O50" s="483">
        <v>1.4887819132240936</v>
      </c>
      <c r="P50" s="483">
        <v>8.4356789458995003</v>
      </c>
      <c r="Q50" s="483">
        <v>9.6399625450961235</v>
      </c>
      <c r="R50" s="483">
        <v>2.0238527600266036</v>
      </c>
      <c r="S50" s="483">
        <v>18.334441657372928</v>
      </c>
      <c r="T50" s="482">
        <v>-0.40478515759849493</v>
      </c>
      <c r="U50" s="482">
        <v>6.4639890811574539E-3</v>
      </c>
      <c r="V50" s="482">
        <v>-1.0506217293196982E-2</v>
      </c>
      <c r="W50" s="482">
        <v>2.0046851159696379E-2</v>
      </c>
      <c r="X50" s="482">
        <v>0.18714725400678406</v>
      </c>
      <c r="Y50" s="482">
        <v>0.2248570127220276</v>
      </c>
      <c r="Z50" s="482">
        <v>0.22485701272202763</v>
      </c>
      <c r="AA50" s="484">
        <v>0.15300583120994887</v>
      </c>
    </row>
    <row r="51" spans="1:27" ht="14">
      <c r="A51" s="147" t="s">
        <v>992</v>
      </c>
      <c r="B51" s="268">
        <v>283</v>
      </c>
      <c r="C51" s="482">
        <v>5.6888627450980403E-2</v>
      </c>
      <c r="D51" s="482">
        <v>0.255024819913312</v>
      </c>
      <c r="E51" s="482">
        <v>0.14253207300518655</v>
      </c>
      <c r="F51" s="482">
        <v>0.18511588872445409</v>
      </c>
      <c r="G51" s="483">
        <v>0.58806403333836699</v>
      </c>
      <c r="H51" s="483">
        <v>0.65958175126639418</v>
      </c>
      <c r="I51" s="482">
        <v>6.8917346106481175E-2</v>
      </c>
      <c r="J51" s="482">
        <v>0.30042257283097029</v>
      </c>
      <c r="K51" s="482">
        <v>5.0672000000000002E-2</v>
      </c>
      <c r="L51" s="482">
        <v>0.24635339593860164</v>
      </c>
      <c r="M51" s="482">
        <v>6.1301738313324187E-2</v>
      </c>
      <c r="N51" s="483">
        <v>0.58941738988416648</v>
      </c>
      <c r="O51" s="483">
        <v>5.4860456257289512</v>
      </c>
      <c r="P51" s="483">
        <v>38.028800579044059</v>
      </c>
      <c r="Q51" s="483">
        <v>20.399919490559814</v>
      </c>
      <c r="R51" s="483">
        <v>2.4896160129666742</v>
      </c>
      <c r="S51" s="483">
        <v>75.304908328590471</v>
      </c>
      <c r="T51" s="482" t="s">
        <v>88</v>
      </c>
      <c r="U51" s="482">
        <v>2.4442614741475917E-2</v>
      </c>
      <c r="V51" s="482">
        <v>0.21022998213119337</v>
      </c>
      <c r="W51" s="482">
        <v>1.310653356484875</v>
      </c>
      <c r="X51" s="482">
        <v>0.15880676782898712</v>
      </c>
      <c r="Y51" s="482">
        <v>0.58240062028042749</v>
      </c>
      <c r="Z51" s="482">
        <v>0.58240062028042749</v>
      </c>
      <c r="AA51" s="484">
        <v>0.252572918757687</v>
      </c>
    </row>
    <row r="52" spans="1:27" ht="14">
      <c r="A52" s="147" t="s">
        <v>674</v>
      </c>
      <c r="B52" s="268">
        <v>105</v>
      </c>
      <c r="C52" s="482">
        <v>0.10368774647887326</v>
      </c>
      <c r="D52" s="482">
        <v>0.15864950695178751</v>
      </c>
      <c r="E52" s="482">
        <v>0.24408325788322105</v>
      </c>
      <c r="F52" s="482">
        <v>0.21211063196638047</v>
      </c>
      <c r="G52" s="483">
        <v>0.89403025100869393</v>
      </c>
      <c r="H52" s="483">
        <v>0.96362079034943848</v>
      </c>
      <c r="I52" s="482">
        <v>8.2477487249584952E-2</v>
      </c>
      <c r="J52" s="482">
        <v>0.45034116660736356</v>
      </c>
      <c r="K52" s="482">
        <v>5.2913000000000002E-2</v>
      </c>
      <c r="L52" s="482">
        <v>0.12810189833015501</v>
      </c>
      <c r="M52" s="482">
        <v>7.6995656373169588E-2</v>
      </c>
      <c r="N52" s="483">
        <v>1.9519255902045307</v>
      </c>
      <c r="O52" s="483">
        <v>3.426131130289686</v>
      </c>
      <c r="P52" s="483">
        <v>16.217470562270965</v>
      </c>
      <c r="Q52" s="483">
        <v>21.036330264618158</v>
      </c>
      <c r="R52" s="483">
        <v>4.5014100240955166</v>
      </c>
      <c r="S52" s="483">
        <v>35.761035877267844</v>
      </c>
      <c r="T52" s="482">
        <v>0.24421935676681558</v>
      </c>
      <c r="U52" s="482">
        <v>2.3903136562751549E-2</v>
      </c>
      <c r="V52" s="482">
        <v>4.1351046278812788E-2</v>
      </c>
      <c r="W52" s="482">
        <v>0.34325707453815479</v>
      </c>
      <c r="X52" s="482">
        <v>0.16423121638505028</v>
      </c>
      <c r="Y52" s="482">
        <v>0.33425683617051016</v>
      </c>
      <c r="Z52" s="482">
        <v>0.33425683617051016</v>
      </c>
      <c r="AA52" s="484">
        <v>0.16121052370028846</v>
      </c>
    </row>
    <row r="53" spans="1:27" ht="14">
      <c r="A53" s="147" t="s">
        <v>609</v>
      </c>
      <c r="B53" s="268">
        <v>73</v>
      </c>
      <c r="C53" s="482">
        <v>8.6706666666666696E-2</v>
      </c>
      <c r="D53" s="482">
        <v>0.23854271917353254</v>
      </c>
      <c r="E53" s="482">
        <v>0.27043617767869521</v>
      </c>
      <c r="F53" s="482">
        <v>0.34462831037250807</v>
      </c>
      <c r="G53" s="483">
        <v>1.0104492960544031</v>
      </c>
      <c r="H53" s="483">
        <v>1.0430314762308461</v>
      </c>
      <c r="I53" s="482">
        <v>8.6019203839895739E-2</v>
      </c>
      <c r="J53" s="482">
        <v>0.77560259574683255</v>
      </c>
      <c r="K53" s="482">
        <v>6.0194999999999999E-2</v>
      </c>
      <c r="L53" s="482">
        <v>9.8973452830721301E-2</v>
      </c>
      <c r="M53" s="482">
        <v>8.1973866470970574E-2</v>
      </c>
      <c r="N53" s="483">
        <v>1.1757156013607679</v>
      </c>
      <c r="O53" s="483">
        <v>4.0344825480569595</v>
      </c>
      <c r="P53" s="483">
        <v>11.3906369554613</v>
      </c>
      <c r="Q53" s="483">
        <v>15.721898982280555</v>
      </c>
      <c r="R53" s="483">
        <v>4.3367655201073294</v>
      </c>
      <c r="S53" s="483">
        <v>54.117601415189604</v>
      </c>
      <c r="T53" s="482">
        <v>0.14887154431534966</v>
      </c>
      <c r="U53" s="482">
        <v>0.11715688032980953</v>
      </c>
      <c r="V53" s="482">
        <v>4.6138468920865205E-2</v>
      </c>
      <c r="W53" s="482">
        <v>0.32403217530523892</v>
      </c>
      <c r="X53" s="482">
        <v>0.17794348748808222</v>
      </c>
      <c r="Y53" s="482">
        <v>0.51999449371742823</v>
      </c>
      <c r="Z53" s="482">
        <v>0.51999449371742823</v>
      </c>
      <c r="AA53" s="484">
        <v>0.23750131147273207</v>
      </c>
    </row>
    <row r="54" spans="1:27" ht="14">
      <c r="A54" s="147" t="s">
        <v>675</v>
      </c>
      <c r="B54" s="268">
        <v>14</v>
      </c>
      <c r="C54" s="482">
        <v>8.1300000000000011E-2</v>
      </c>
      <c r="D54" s="482">
        <v>0.10728305214757801</v>
      </c>
      <c r="E54" s="482">
        <v>0.18260160203320722</v>
      </c>
      <c r="F54" s="482">
        <v>0.23759711400364142</v>
      </c>
      <c r="G54" s="483">
        <v>1.0381901897861687</v>
      </c>
      <c r="H54" s="483">
        <v>1.3343750386217481</v>
      </c>
      <c r="I54" s="482">
        <v>9.9013126722529959E-2</v>
      </c>
      <c r="J54" s="482">
        <v>0.39607566964650021</v>
      </c>
      <c r="K54" s="482">
        <v>5.0672000000000002E-2</v>
      </c>
      <c r="L54" s="482">
        <v>0.32479184369488656</v>
      </c>
      <c r="M54" s="482">
        <v>7.919785997210449E-2</v>
      </c>
      <c r="N54" s="483">
        <v>2.2050306785340026</v>
      </c>
      <c r="O54" s="483">
        <v>1.433663742966214</v>
      </c>
      <c r="P54" s="483">
        <v>8.5948544688336455</v>
      </c>
      <c r="Q54" s="483">
        <v>13.026288799224101</v>
      </c>
      <c r="R54" s="483">
        <v>2.9240789608547852</v>
      </c>
      <c r="S54" s="483">
        <v>18.551526948284089</v>
      </c>
      <c r="T54" s="482">
        <v>8.1389915003820604E-2</v>
      </c>
      <c r="U54" s="482">
        <v>2.7643413569059208E-2</v>
      </c>
      <c r="V54" s="482">
        <v>1.8695169513859498E-2</v>
      </c>
      <c r="W54" s="482">
        <v>0.32291643070222387</v>
      </c>
      <c r="X54" s="482">
        <v>0.13225661947364661</v>
      </c>
      <c r="Y54" s="482">
        <v>0.57403612207606014</v>
      </c>
      <c r="Z54" s="482">
        <v>0.57403612207606014</v>
      </c>
      <c r="AA54" s="484">
        <v>0.10798292718748384</v>
      </c>
    </row>
    <row r="55" spans="1:27" ht="14">
      <c r="A55" s="147" t="s">
        <v>676</v>
      </c>
      <c r="B55" s="268">
        <v>4</v>
      </c>
      <c r="C55" s="482">
        <v>4.6199999999999998E-2</v>
      </c>
      <c r="D55" s="482">
        <v>0.1124866389469229</v>
      </c>
      <c r="E55" s="482">
        <v>8.44906040235468E-2</v>
      </c>
      <c r="F55" s="482">
        <v>0.31437215036996041</v>
      </c>
      <c r="G55" s="483">
        <v>0.27800401235886663</v>
      </c>
      <c r="H55" s="483">
        <v>0.29938197964399788</v>
      </c>
      <c r="I55" s="482">
        <v>5.2852436292122308E-2</v>
      </c>
      <c r="J55" s="482">
        <v>0.20268279045885779</v>
      </c>
      <c r="K55" s="482">
        <v>4.7306000000000001E-2</v>
      </c>
      <c r="L55" s="482">
        <v>0.12161274069413096</v>
      </c>
      <c r="M55" s="482">
        <v>5.0739665895732783E-2</v>
      </c>
      <c r="N55" s="483">
        <v>1.0243112911858847</v>
      </c>
      <c r="O55" s="483">
        <v>1.7531762327331943</v>
      </c>
      <c r="P55" s="483">
        <v>8.1630216111072649</v>
      </c>
      <c r="Q55" s="483">
        <v>15.156703973353256</v>
      </c>
      <c r="R55" s="483">
        <v>1.7075523310467329</v>
      </c>
      <c r="S55" s="483">
        <v>16.243905482865941</v>
      </c>
      <c r="T55" s="482">
        <v>3.9274251407259667E-2</v>
      </c>
      <c r="U55" s="482">
        <v>9.6389880835372435E-2</v>
      </c>
      <c r="V55" s="482">
        <v>3.8903252040173456E-3</v>
      </c>
      <c r="W55" s="482">
        <v>8.3948921437387386E-2</v>
      </c>
      <c r="X55" s="482">
        <v>9.9575021403991049E-2</v>
      </c>
      <c r="Y55" s="482">
        <v>0.67733936055668764</v>
      </c>
      <c r="Z55" s="482">
        <v>0.67733936055668764</v>
      </c>
      <c r="AA55" s="484">
        <v>0.11577412006146154</v>
      </c>
    </row>
    <row r="56" spans="1:27" ht="14">
      <c r="A56" s="147" t="s">
        <v>610</v>
      </c>
      <c r="B56" s="268">
        <v>142</v>
      </c>
      <c r="C56" s="482">
        <v>0.17612520547945207</v>
      </c>
      <c r="D56" s="482">
        <v>0.25415829879813889</v>
      </c>
      <c r="E56" s="482">
        <v>0.13731095270967508</v>
      </c>
      <c r="F56" s="482">
        <v>0.25337213780269946</v>
      </c>
      <c r="G56" s="483">
        <v>0.57854056928853237</v>
      </c>
      <c r="H56" s="483">
        <v>0.72140595546977004</v>
      </c>
      <c r="I56" s="482">
        <v>7.1674705613951742E-2</v>
      </c>
      <c r="J56" s="482">
        <v>0.42219200974609405</v>
      </c>
      <c r="K56" s="482">
        <v>5.0672000000000002E-2</v>
      </c>
      <c r="L56" s="482">
        <v>0.27319045173723411</v>
      </c>
      <c r="M56" s="482">
        <v>6.2476190336964846E-2</v>
      </c>
      <c r="N56" s="483">
        <v>0.57409944317688832</v>
      </c>
      <c r="O56" s="483">
        <v>2.6825885994843817</v>
      </c>
      <c r="P56" s="483">
        <v>5.1458593386451499</v>
      </c>
      <c r="Q56" s="483">
        <v>10.277443744334771</v>
      </c>
      <c r="R56" s="483">
        <v>1.3557207436661911</v>
      </c>
      <c r="S56" s="483">
        <v>30.983413096602018</v>
      </c>
      <c r="T56" s="482">
        <v>6.6171271191045105E-3</v>
      </c>
      <c r="U56" s="482">
        <v>0.38137410971045865</v>
      </c>
      <c r="V56" s="482">
        <v>0.19048691874575868</v>
      </c>
      <c r="W56" s="482">
        <v>1.0047519443561985</v>
      </c>
      <c r="X56" s="482">
        <v>0.12211066139642923</v>
      </c>
      <c r="Y56" s="482">
        <v>0.41698781277801439</v>
      </c>
      <c r="Z56" s="482">
        <v>0.41698781277801444</v>
      </c>
      <c r="AA56" s="484">
        <v>0.25749648519335816</v>
      </c>
    </row>
    <row r="57" spans="1:27" ht="14">
      <c r="A57" s="147" t="s">
        <v>677</v>
      </c>
      <c r="B57" s="268">
        <v>23</v>
      </c>
      <c r="C57" s="482">
        <v>0.20128066666666669</v>
      </c>
      <c r="D57" s="482">
        <v>0.25778109907344859</v>
      </c>
      <c r="E57" s="482">
        <v>0.12351055159122301</v>
      </c>
      <c r="F57" s="482">
        <v>0.20388504396437862</v>
      </c>
      <c r="G57" s="483">
        <v>0.46925629740907565</v>
      </c>
      <c r="H57" s="483">
        <v>0.66922245171448991</v>
      </c>
      <c r="I57" s="482">
        <v>6.9347321346466248E-2</v>
      </c>
      <c r="J57" s="482">
        <v>0.42240372453265573</v>
      </c>
      <c r="K57" s="482">
        <v>5.0672000000000002E-2</v>
      </c>
      <c r="L57" s="482">
        <v>0.36919317539892843</v>
      </c>
      <c r="M57" s="482">
        <v>5.7775581011015355E-2</v>
      </c>
      <c r="N57" s="483">
        <v>0.52193746852269296</v>
      </c>
      <c r="O57" s="483">
        <v>4.3717837818828933</v>
      </c>
      <c r="P57" s="483">
        <v>11.562396589541736</v>
      </c>
      <c r="Q57" s="483">
        <v>16.480576799916097</v>
      </c>
      <c r="R57" s="483">
        <v>2.8822710208384796</v>
      </c>
      <c r="S57" s="483">
        <v>23.71726394001627</v>
      </c>
      <c r="T57" s="482">
        <v>1.0570039121307597E-2</v>
      </c>
      <c r="U57" s="482">
        <v>0.21241109540600209</v>
      </c>
      <c r="V57" s="482">
        <v>0.19592039293694488</v>
      </c>
      <c r="W57" s="482">
        <v>0.99633827141005071</v>
      </c>
      <c r="X57" s="482">
        <v>0.18032702415722426</v>
      </c>
      <c r="Y57" s="482">
        <v>0.69434855550050512</v>
      </c>
      <c r="Z57" s="482">
        <v>0.69434855550050512</v>
      </c>
      <c r="AA57" s="484">
        <v>0.26054682808764429</v>
      </c>
    </row>
    <row r="58" spans="1:27" ht="14">
      <c r="A58" s="147" t="s">
        <v>678</v>
      </c>
      <c r="B58" s="268">
        <v>97</v>
      </c>
      <c r="C58" s="482">
        <v>0.10785927272727271</v>
      </c>
      <c r="D58" s="482">
        <v>4.6496062786623764E-2</v>
      </c>
      <c r="E58" s="482">
        <v>0.11937951003115008</v>
      </c>
      <c r="F58" s="482">
        <v>0.1854586896156506</v>
      </c>
      <c r="G58" s="483">
        <v>0.78705756414207284</v>
      </c>
      <c r="H58" s="483">
        <v>0.9512418716285248</v>
      </c>
      <c r="I58" s="482">
        <v>8.1925387474632211E-2</v>
      </c>
      <c r="J58" s="482">
        <v>0.4831643535406242</v>
      </c>
      <c r="K58" s="482">
        <v>5.2913000000000002E-2</v>
      </c>
      <c r="L58" s="482">
        <v>0.27198932860464653</v>
      </c>
      <c r="M58" s="482">
        <v>7.0436384848074726E-2</v>
      </c>
      <c r="N58" s="483">
        <v>2.792715187270896</v>
      </c>
      <c r="O58" s="483">
        <v>0.74135183693843409</v>
      </c>
      <c r="P58" s="483">
        <v>8.6297606667475986</v>
      </c>
      <c r="Q58" s="483">
        <v>14.904129004234006</v>
      </c>
      <c r="R58" s="483">
        <v>1.9183893473343103</v>
      </c>
      <c r="S58" s="483">
        <v>33.300345338219728</v>
      </c>
      <c r="T58" s="482">
        <v>8.9263294829458634E-2</v>
      </c>
      <c r="U58" s="482">
        <v>2.8881308122607672E-2</v>
      </c>
      <c r="V58" s="482">
        <v>9.0806707487375588E-3</v>
      </c>
      <c r="W58" s="482">
        <v>0.3218336130235796</v>
      </c>
      <c r="X58" s="482">
        <v>8.6460412605034634E-2</v>
      </c>
      <c r="Y58" s="482">
        <v>0.60075087398942861</v>
      </c>
      <c r="Z58" s="482">
        <v>0.60075087398942861</v>
      </c>
      <c r="AA58" s="484">
        <v>4.8154549584060992E-2</v>
      </c>
    </row>
    <row r="59" spans="1:27" ht="14">
      <c r="A59" s="147" t="s">
        <v>679</v>
      </c>
      <c r="B59" s="268">
        <v>19</v>
      </c>
      <c r="C59" s="482">
        <v>4.6629999999999991E-2</v>
      </c>
      <c r="D59" s="482">
        <v>9.5755765455447575E-2</v>
      </c>
      <c r="E59" s="482">
        <v>0.14816927195835602</v>
      </c>
      <c r="F59" s="482">
        <v>0.23575215136408695</v>
      </c>
      <c r="G59" s="483">
        <v>0.74899179586351039</v>
      </c>
      <c r="H59" s="483">
        <v>1.0219297750432532</v>
      </c>
      <c r="I59" s="482">
        <v>8.50780679669291E-2</v>
      </c>
      <c r="J59" s="482">
        <v>0.25447909143998576</v>
      </c>
      <c r="K59" s="482">
        <v>4.7306000000000001E-2</v>
      </c>
      <c r="L59" s="482">
        <v>0.35529454409782629</v>
      </c>
      <c r="M59" s="482">
        <v>6.7455967373213965E-2</v>
      </c>
      <c r="N59" s="483">
        <v>1.8403807026531327</v>
      </c>
      <c r="O59" s="483">
        <v>1.5482237405985284</v>
      </c>
      <c r="P59" s="483">
        <v>9.7095672332883129</v>
      </c>
      <c r="Q59" s="483">
        <v>15.778450350932102</v>
      </c>
      <c r="R59" s="483">
        <v>2.1839676063332765</v>
      </c>
      <c r="S59" s="483">
        <v>16.428216288746711</v>
      </c>
      <c r="T59" s="482">
        <v>0.1265597291835957</v>
      </c>
      <c r="U59" s="482">
        <v>5.4699034955882672E-2</v>
      </c>
      <c r="V59" s="482">
        <v>5.1378262057658178E-2</v>
      </c>
      <c r="W59" s="482">
        <v>0.93958506635970473</v>
      </c>
      <c r="X59" s="482">
        <v>0.12293731853965369</v>
      </c>
      <c r="Y59" s="482">
        <v>0.55582487520147095</v>
      </c>
      <c r="Z59" s="482">
        <v>0.55582487520147095</v>
      </c>
      <c r="AA59" s="484">
        <v>9.7673274187051809E-2</v>
      </c>
    </row>
    <row r="60" spans="1:27" ht="14">
      <c r="A60" s="147" t="s">
        <v>680</v>
      </c>
      <c r="B60" s="268">
        <v>6</v>
      </c>
      <c r="C60" s="482">
        <v>-3.3999999999999985E-3</v>
      </c>
      <c r="D60" s="482">
        <v>6.3448388590732013E-2</v>
      </c>
      <c r="E60" s="482">
        <v>0.10414205662375479</v>
      </c>
      <c r="F60" s="482">
        <v>0.25842696629213485</v>
      </c>
      <c r="G60" s="483">
        <v>0.76967514554082472</v>
      </c>
      <c r="H60" s="483">
        <v>0.95797843096936519</v>
      </c>
      <c r="I60" s="482">
        <v>8.2225838021233691E-2</v>
      </c>
      <c r="J60" s="482">
        <v>0.56944502382492834</v>
      </c>
      <c r="K60" s="482">
        <v>5.2913000000000002E-2</v>
      </c>
      <c r="L60" s="482">
        <v>0.30404851204898026</v>
      </c>
      <c r="M60" s="482">
        <v>6.9291283507432896E-2</v>
      </c>
      <c r="N60" s="483">
        <v>1.7317984331861096</v>
      </c>
      <c r="O60" s="483">
        <v>1.0203986001754877</v>
      </c>
      <c r="P60" s="483">
        <v>8.1832826633111146</v>
      </c>
      <c r="Q60" s="483">
        <v>15.510405513934987</v>
      </c>
      <c r="R60" s="483">
        <v>1.8281319307473152</v>
      </c>
      <c r="S60" s="483">
        <v>12.85053914674168</v>
      </c>
      <c r="T60" s="482">
        <v>0.13244521934962447</v>
      </c>
      <c r="U60" s="482">
        <v>6.2104412419066293E-2</v>
      </c>
      <c r="V60" s="482">
        <v>1.8007464516304791E-2</v>
      </c>
      <c r="W60" s="482">
        <v>0.44287770438898322</v>
      </c>
      <c r="X60" s="482">
        <v>7.0136499833536786E-2</v>
      </c>
      <c r="Y60" s="482">
        <v>3.3254219409282699</v>
      </c>
      <c r="Z60" s="482">
        <v>3.3254219409282699</v>
      </c>
      <c r="AA60" s="484">
        <v>6.6294976889194807E-2</v>
      </c>
    </row>
    <row r="61" spans="1:27" ht="14">
      <c r="A61" s="147" t="s">
        <v>681</v>
      </c>
      <c r="B61" s="268">
        <v>46</v>
      </c>
      <c r="C61" s="482">
        <v>6.735309523809524E-2</v>
      </c>
      <c r="D61" s="482">
        <v>0.21469956622024261</v>
      </c>
      <c r="E61" s="482">
        <v>6.9218724202908158E-2</v>
      </c>
      <c r="F61" s="482">
        <v>0.13013680604114888</v>
      </c>
      <c r="G61" s="483">
        <v>0.31457840775745605</v>
      </c>
      <c r="H61" s="483">
        <v>0.48243267131702228</v>
      </c>
      <c r="I61" s="482">
        <v>6.1016497140739194E-2</v>
      </c>
      <c r="J61" s="482">
        <v>0.25379988697855693</v>
      </c>
      <c r="K61" s="482">
        <v>4.7306000000000001E-2</v>
      </c>
      <c r="L61" s="482">
        <v>0.42577792107496654</v>
      </c>
      <c r="M61" s="482">
        <v>5.0143407587657896E-2</v>
      </c>
      <c r="N61" s="483">
        <v>0.37173351266396198</v>
      </c>
      <c r="O61" s="483">
        <v>4.695806461850637</v>
      </c>
      <c r="P61" s="483">
        <v>12.381410319081745</v>
      </c>
      <c r="Q61" s="483">
        <v>21.859085923257439</v>
      </c>
      <c r="R61" s="483">
        <v>2.2756619911405731</v>
      </c>
      <c r="S61" s="483">
        <v>24.741171913768934</v>
      </c>
      <c r="T61" s="482">
        <v>3.0793409586389906E-2</v>
      </c>
      <c r="U61" s="482">
        <v>0.38694615073999533</v>
      </c>
      <c r="V61" s="482">
        <v>0.24346143806045178</v>
      </c>
      <c r="W61" s="482">
        <v>1.3095343770177144</v>
      </c>
      <c r="X61" s="482">
        <v>0.12399093984234143</v>
      </c>
      <c r="Y61" s="482">
        <v>0.54957891962095951</v>
      </c>
      <c r="Z61" s="482">
        <v>0.54957891962095951</v>
      </c>
      <c r="AA61" s="484">
        <v>0.21366595999098478</v>
      </c>
    </row>
    <row r="62" spans="1:27" ht="14">
      <c r="A62" s="147" t="s">
        <v>682</v>
      </c>
      <c r="B62" s="268">
        <v>56</v>
      </c>
      <c r="C62" s="482">
        <v>0.46045454545454545</v>
      </c>
      <c r="D62" s="482">
        <v>0.40388775060193199</v>
      </c>
      <c r="E62" s="482">
        <v>0.25451637862422194</v>
      </c>
      <c r="F62" s="482">
        <v>0.28746597090529191</v>
      </c>
      <c r="G62" s="483">
        <v>0.83089620734017222</v>
      </c>
      <c r="H62" s="483">
        <v>0.83656065122919421</v>
      </c>
      <c r="I62" s="482">
        <v>7.6810605044822067E-2</v>
      </c>
      <c r="J62" s="482">
        <v>0.69947203546018366</v>
      </c>
      <c r="K62" s="482">
        <v>6.0194999999999999E-2</v>
      </c>
      <c r="L62" s="482">
        <v>6.7869401124549047E-2</v>
      </c>
      <c r="M62" s="482">
        <v>7.4661564230934896E-2</v>
      </c>
      <c r="N62" s="483">
        <v>0.67779616636358231</v>
      </c>
      <c r="O62" s="483">
        <v>5.9817370288703877</v>
      </c>
      <c r="P62" s="483">
        <v>10.676341144431332</v>
      </c>
      <c r="Q62" s="483">
        <v>14.28466837764744</v>
      </c>
      <c r="R62" s="483">
        <v>3.6400986846215324</v>
      </c>
      <c r="S62" s="483">
        <v>26.798624420328615</v>
      </c>
      <c r="T62" s="482">
        <v>9.0999513552713268E-2</v>
      </c>
      <c r="U62" s="482">
        <v>0.18183462912628259</v>
      </c>
      <c r="V62" s="482">
        <v>6.119648959370419E-2</v>
      </c>
      <c r="W62" s="482">
        <v>0.29453368157161064</v>
      </c>
      <c r="X62" s="482">
        <v>0.23523056888876692</v>
      </c>
      <c r="Y62" s="482">
        <v>0.25150955741549114</v>
      </c>
      <c r="Z62" s="482">
        <v>0.25150955741549108</v>
      </c>
      <c r="AA62" s="484">
        <v>0.40350161244366967</v>
      </c>
    </row>
    <row r="63" spans="1:27" ht="14">
      <c r="A63" s="147" t="s">
        <v>683</v>
      </c>
      <c r="B63" s="268">
        <v>19</v>
      </c>
      <c r="C63" s="482">
        <v>3.9916666666666453E-4</v>
      </c>
      <c r="D63" s="482">
        <v>9.9826888897915647E-2</v>
      </c>
      <c r="E63" s="482">
        <v>0.17632773244458913</v>
      </c>
      <c r="F63" s="482">
        <v>0.26800754049953252</v>
      </c>
      <c r="G63" s="483">
        <v>0.51188407379011402</v>
      </c>
      <c r="H63" s="483">
        <v>0.56300717660154098</v>
      </c>
      <c r="I63" s="482">
        <v>6.4610120076428731E-2</v>
      </c>
      <c r="J63" s="482">
        <v>0.35925309700015134</v>
      </c>
      <c r="K63" s="482">
        <v>5.0672000000000002E-2</v>
      </c>
      <c r="L63" s="482">
        <v>0.19315716463726645</v>
      </c>
      <c r="M63" s="482">
        <v>5.9470957360467105E-2</v>
      </c>
      <c r="N63" s="483">
        <v>2.1648896739389594</v>
      </c>
      <c r="O63" s="483">
        <v>1.6994070024135182</v>
      </c>
      <c r="P63" s="483">
        <v>11.237817589409497</v>
      </c>
      <c r="Q63" s="483">
        <v>17.16106357418429</v>
      </c>
      <c r="R63" s="483">
        <v>2.2839415625241202</v>
      </c>
      <c r="S63" s="483">
        <v>15.180436765971056</v>
      </c>
      <c r="T63" s="482">
        <v>0.12891803605092594</v>
      </c>
      <c r="U63" s="482">
        <v>3.261342577023911E-2</v>
      </c>
      <c r="V63" s="482">
        <v>-5.9039317870506125E-3</v>
      </c>
      <c r="W63" s="482">
        <v>2.4902842363282593E-2</v>
      </c>
      <c r="X63" s="482">
        <v>0.13834733920348685</v>
      </c>
      <c r="Y63" s="482">
        <v>0.23088767328572254</v>
      </c>
      <c r="Z63" s="482">
        <v>0.23088767328572257</v>
      </c>
      <c r="AA63" s="484">
        <v>9.9232968546182826E-2</v>
      </c>
    </row>
    <row r="64" spans="1:27" ht="14">
      <c r="A64" s="147" t="s">
        <v>684</v>
      </c>
      <c r="B64" s="268">
        <v>190</v>
      </c>
      <c r="C64" s="482">
        <v>0.12590256249999998</v>
      </c>
      <c r="D64" s="482">
        <v>0.24643404671038199</v>
      </c>
      <c r="E64" s="482">
        <v>3.2030802806398237E-2</v>
      </c>
      <c r="F64" s="482">
        <v>3.5129761734372648E-2</v>
      </c>
      <c r="G64" s="483">
        <v>0.40054184967311207</v>
      </c>
      <c r="H64" s="483">
        <v>0.64179846357629644</v>
      </c>
      <c r="I64" s="482">
        <v>6.8124211475502822E-2</v>
      </c>
      <c r="J64" s="482">
        <v>0.26369287026892851</v>
      </c>
      <c r="K64" s="482">
        <v>4.7306000000000001E-2</v>
      </c>
      <c r="L64" s="482">
        <v>0.4578858440045514</v>
      </c>
      <c r="M64" s="482">
        <v>5.3176660209257147E-2</v>
      </c>
      <c r="N64" s="483">
        <v>0.14654327790570346</v>
      </c>
      <c r="O64" s="483">
        <v>10.650570831822968</v>
      </c>
      <c r="P64" s="483">
        <v>19.871176003410046</v>
      </c>
      <c r="Q64" s="483">
        <v>42.725292346087237</v>
      </c>
      <c r="R64" s="483">
        <v>1.9915152243761973</v>
      </c>
      <c r="S64" s="483">
        <v>36.954450067178911</v>
      </c>
      <c r="T64" s="482">
        <v>1.3967169924585698</v>
      </c>
      <c r="U64" s="482">
        <v>3.6026979952074219E-2</v>
      </c>
      <c r="V64" s="482">
        <v>-0.12711188348448668</v>
      </c>
      <c r="W64" s="482">
        <v>-0.57569773976474525</v>
      </c>
      <c r="X64" s="482">
        <v>5.037954337741777E-2</v>
      </c>
      <c r="Y64" s="482">
        <v>1.9487195504756645</v>
      </c>
      <c r="Z64" s="482">
        <v>1.9487195504756645</v>
      </c>
      <c r="AA64" s="484">
        <v>0.22209772455024684</v>
      </c>
    </row>
    <row r="65" spans="1:27" ht="14">
      <c r="A65" s="147" t="s">
        <v>685</v>
      </c>
      <c r="B65" s="268">
        <v>14</v>
      </c>
      <c r="C65" s="482">
        <v>0.2860833333333333</v>
      </c>
      <c r="D65" s="482">
        <v>0.21526561249700268</v>
      </c>
      <c r="E65" s="482">
        <v>7.0433558847822625E-2</v>
      </c>
      <c r="F65" s="482">
        <v>0.2529066927210552</v>
      </c>
      <c r="G65" s="483">
        <v>0.56410361871777703</v>
      </c>
      <c r="H65" s="483">
        <v>0.84356606159748782</v>
      </c>
      <c r="I65" s="482">
        <v>7.7123046347247953E-2</v>
      </c>
      <c r="J65" s="482">
        <v>0.52102337389340736</v>
      </c>
      <c r="K65" s="482">
        <v>5.2913000000000002E-2</v>
      </c>
      <c r="L65" s="482">
        <v>0.5045319836293547</v>
      </c>
      <c r="M65" s="482">
        <v>5.8234228427467324E-2</v>
      </c>
      <c r="N65" s="483">
        <v>0.34951067348440373</v>
      </c>
      <c r="O65" s="483">
        <v>3.0335118159319112</v>
      </c>
      <c r="P65" s="483">
        <v>10.230498510219929</v>
      </c>
      <c r="Q65" s="483">
        <v>13.491460902121418</v>
      </c>
      <c r="R65" s="483">
        <v>0.99348478524917239</v>
      </c>
      <c r="S65" s="483">
        <v>11.353163449905935</v>
      </c>
      <c r="T65" s="482">
        <v>1.6438688332017736E-2</v>
      </c>
      <c r="U65" s="482">
        <v>1.0523465558073179E-2</v>
      </c>
      <c r="V65" s="482">
        <v>-4.2704109537370583E-2</v>
      </c>
      <c r="W65" s="482">
        <v>-0.46616878573714482</v>
      </c>
      <c r="X65" s="482">
        <v>5.0605459109192688E-2</v>
      </c>
      <c r="Y65" s="482">
        <v>0</v>
      </c>
      <c r="Z65" s="482">
        <v>0</v>
      </c>
      <c r="AA65" s="484">
        <v>0.21191936700617578</v>
      </c>
    </row>
    <row r="66" spans="1:27" ht="14">
      <c r="A66" s="147" t="s">
        <v>686</v>
      </c>
      <c r="B66" s="268">
        <v>12</v>
      </c>
      <c r="C66" s="482">
        <v>9.5967999999999984E-2</v>
      </c>
      <c r="D66" s="482">
        <v>0.21451711491442543</v>
      </c>
      <c r="E66" s="482">
        <v>5.1949230714927352E-2</v>
      </c>
      <c r="F66" s="482">
        <v>0.17034225238792733</v>
      </c>
      <c r="G66" s="483">
        <v>0.62695363585981057</v>
      </c>
      <c r="H66" s="483">
        <v>0.80998647694573955</v>
      </c>
      <c r="I66" s="482">
        <v>7.5625396871779993E-2</v>
      </c>
      <c r="J66" s="482">
        <v>0.31209535325023385</v>
      </c>
      <c r="K66" s="482">
        <v>5.0672000000000002E-2</v>
      </c>
      <c r="L66" s="482">
        <v>0.34878955352442437</v>
      </c>
      <c r="M66" s="482">
        <v>6.2503446653906683E-2</v>
      </c>
      <c r="N66" s="483">
        <v>0.24666170173123336</v>
      </c>
      <c r="O66" s="483">
        <v>6.8261578648082946</v>
      </c>
      <c r="P66" s="483">
        <v>17.286870078907647</v>
      </c>
      <c r="Q66" s="483">
        <v>26.873684093715536</v>
      </c>
      <c r="R66" s="483">
        <v>1.1639630713249574</v>
      </c>
      <c r="S66" s="483">
        <v>40.248987883834879</v>
      </c>
      <c r="T66" s="482">
        <v>2.5716778728606364</v>
      </c>
      <c r="U66" s="482">
        <v>2.3555419722901389E-2</v>
      </c>
      <c r="V66" s="482">
        <v>4.4386715566422314E-3</v>
      </c>
      <c r="W66" s="482">
        <v>0.96574392149153221</v>
      </c>
      <c r="X66" s="482">
        <v>0.10767597507500577</v>
      </c>
      <c r="Y66" s="482">
        <v>0.26963305898491086</v>
      </c>
      <c r="Z66" s="482">
        <v>0.26963305898491086</v>
      </c>
      <c r="AA66" s="484">
        <v>0.22087621024942458</v>
      </c>
    </row>
    <row r="67" spans="1:27" ht="14">
      <c r="A67" s="147" t="s">
        <v>687</v>
      </c>
      <c r="B67" s="268">
        <v>54</v>
      </c>
      <c r="C67" s="482">
        <v>0.12627121212121209</v>
      </c>
      <c r="D67" s="482">
        <v>2.8508268242877017E-2</v>
      </c>
      <c r="E67" s="482">
        <v>5.9426974075348735E-2</v>
      </c>
      <c r="F67" s="482">
        <v>0.19580401259799973</v>
      </c>
      <c r="G67" s="483">
        <v>0.85758643266203882</v>
      </c>
      <c r="H67" s="483">
        <v>0.96549740666104511</v>
      </c>
      <c r="I67" s="482">
        <v>8.2561184337082621E-2</v>
      </c>
      <c r="J67" s="482">
        <v>0.50559625569073496</v>
      </c>
      <c r="K67" s="482">
        <v>5.2913000000000002E-2</v>
      </c>
      <c r="L67" s="482">
        <v>0.19770402965979508</v>
      </c>
      <c r="M67" s="482">
        <v>7.4084340491197775E-2</v>
      </c>
      <c r="N67" s="483">
        <v>2.5168988059838724</v>
      </c>
      <c r="O67" s="483">
        <v>1.4639301809726371</v>
      </c>
      <c r="P67" s="483">
        <v>21.951001736299538</v>
      </c>
      <c r="Q67" s="483">
        <v>49.592274969808194</v>
      </c>
      <c r="R67" s="483">
        <v>3.0641343506139327</v>
      </c>
      <c r="S67" s="483">
        <v>107.33525597759802</v>
      </c>
      <c r="T67" s="482">
        <v>9.828580031656807E-2</v>
      </c>
      <c r="U67" s="482">
        <v>1.1649148878801193E-2</v>
      </c>
      <c r="V67" s="482">
        <v>2.4639351148280447E-2</v>
      </c>
      <c r="W67" s="482">
        <v>0.97597565944863973</v>
      </c>
      <c r="X67" s="482">
        <v>3.303284726431277E-2</v>
      </c>
      <c r="Y67" s="482">
        <v>0.27052526808015165</v>
      </c>
      <c r="Z67" s="482">
        <v>0.27052526808015165</v>
      </c>
      <c r="AA67" s="484">
        <v>2.8482756293223808E-2</v>
      </c>
    </row>
    <row r="68" spans="1:27" ht="14">
      <c r="A68" s="147" t="s">
        <v>688</v>
      </c>
      <c r="B68" s="268">
        <v>49</v>
      </c>
      <c r="C68" s="482">
        <v>9.14083333333333E-2</v>
      </c>
      <c r="D68" s="482">
        <v>9.6933100690499902E-2</v>
      </c>
      <c r="E68" s="482">
        <v>8.0245126910651568E-2</v>
      </c>
      <c r="F68" s="482">
        <v>0.25980169469316072</v>
      </c>
      <c r="G68" s="483">
        <v>0.73649871829926972</v>
      </c>
      <c r="H68" s="483">
        <v>1.0234727002249695</v>
      </c>
      <c r="I68" s="482">
        <v>8.5146882430033641E-2</v>
      </c>
      <c r="J68" s="482">
        <v>0.48308130338584487</v>
      </c>
      <c r="K68" s="482">
        <v>5.2913000000000002E-2</v>
      </c>
      <c r="L68" s="482">
        <v>0.38646742920174842</v>
      </c>
      <c r="M68" s="482">
        <v>6.75772489837691E-2</v>
      </c>
      <c r="N68" s="483">
        <v>1.2420065495162005</v>
      </c>
      <c r="O68" s="483">
        <v>1.9404277825243099</v>
      </c>
      <c r="P68" s="483">
        <v>10.390872319428379</v>
      </c>
      <c r="Q68" s="483">
        <v>23.957324617946625</v>
      </c>
      <c r="R68" s="483">
        <v>4.0276834572995037</v>
      </c>
      <c r="S68" s="483">
        <v>119.01498691997652</v>
      </c>
      <c r="T68" s="482">
        <v>0.15010930951824455</v>
      </c>
      <c r="U68" s="482">
        <v>6.6875972742377041E-2</v>
      </c>
      <c r="V68" s="482">
        <v>1.3353604423837605E-2</v>
      </c>
      <c r="W68" s="482">
        <v>5.6629490290082345E-2</v>
      </c>
      <c r="X68" s="482">
        <v>-0.12761155971725319</v>
      </c>
      <c r="Y68" s="482">
        <v>5.62724438125783E-3</v>
      </c>
      <c r="Z68" s="482">
        <v>5.6272443812578343E-3</v>
      </c>
      <c r="AA68" s="484">
        <v>8.0620967459705262E-2</v>
      </c>
    </row>
    <row r="69" spans="1:27" ht="14">
      <c r="A69" s="147" t="s">
        <v>993</v>
      </c>
      <c r="B69" s="268">
        <v>1</v>
      </c>
      <c r="C69" s="482">
        <v>9.3900000000000011E-2</v>
      </c>
      <c r="D69" s="482">
        <v>7.213952654232425E-2</v>
      </c>
      <c r="E69" s="482">
        <v>0.10144338115914428</v>
      </c>
      <c r="F69" s="482">
        <v>0.3035856573705179</v>
      </c>
      <c r="G69" s="483">
        <v>0.57770169876934341</v>
      </c>
      <c r="H69" s="483">
        <v>0.58133232239552346</v>
      </c>
      <c r="I69" s="482">
        <v>6.542742157884035E-2</v>
      </c>
      <c r="J69" s="482">
        <v>0.1921142517209114</v>
      </c>
      <c r="K69" s="482">
        <v>4.7306000000000001E-2</v>
      </c>
      <c r="L69" s="482">
        <v>0.30297670564968615</v>
      </c>
      <c r="M69" s="482">
        <v>5.635389895782815E-2</v>
      </c>
      <c r="N69" s="483">
        <v>2.0136121278427837</v>
      </c>
      <c r="O69" s="483">
        <v>0.65265028118587021</v>
      </c>
      <c r="P69" s="483">
        <v>8.6709029494696512</v>
      </c>
      <c r="Q69" s="483">
        <v>9.0219483926093851</v>
      </c>
      <c r="R69" s="483">
        <v>1.0231175390266301</v>
      </c>
      <c r="S69" s="483">
        <v>15.421107266435987</v>
      </c>
      <c r="T69" s="482">
        <v>1.4257532281205165E-2</v>
      </c>
      <c r="U69" s="482">
        <v>0</v>
      </c>
      <c r="V69" s="482">
        <v>-2.2327833572453352E-3</v>
      </c>
      <c r="W69" s="482">
        <v>0.30899329981828288</v>
      </c>
      <c r="X69" s="482">
        <v>7.7918576435696954E-2</v>
      </c>
      <c r="Y69" s="482">
        <v>0.27335640138408307</v>
      </c>
      <c r="Z69" s="482">
        <v>0.27335640138408301</v>
      </c>
      <c r="AA69" s="484">
        <v>7.2340280922079905E-2</v>
      </c>
    </row>
    <row r="70" spans="1:27" ht="14">
      <c r="A70" s="147" t="s">
        <v>689</v>
      </c>
      <c r="B70" s="268">
        <v>64</v>
      </c>
      <c r="C70" s="482">
        <v>0.13935384615384616</v>
      </c>
      <c r="D70" s="482">
        <v>0.15787862734302993</v>
      </c>
      <c r="E70" s="482">
        <v>0.18360436293768279</v>
      </c>
      <c r="F70" s="482">
        <v>0.21305758814254969</v>
      </c>
      <c r="G70" s="483">
        <v>0.78300738235507794</v>
      </c>
      <c r="H70" s="483">
        <v>0.92408731478032569</v>
      </c>
      <c r="I70" s="482">
        <v>8.0714294239202525E-2</v>
      </c>
      <c r="J70" s="482">
        <v>0.411494619604859</v>
      </c>
      <c r="K70" s="482">
        <v>5.0672000000000002E-2</v>
      </c>
      <c r="L70" s="482">
        <v>0.21395892763647292</v>
      </c>
      <c r="M70" s="482">
        <v>7.1576045484744527E-2</v>
      </c>
      <c r="N70" s="483">
        <v>1.51285654737222</v>
      </c>
      <c r="O70" s="483">
        <v>4.1655143922322573</v>
      </c>
      <c r="P70" s="483">
        <v>17.494296052782147</v>
      </c>
      <c r="Q70" s="483">
        <v>30.151189707954675</v>
      </c>
      <c r="R70" s="483">
        <v>74.73531863615672</v>
      </c>
      <c r="S70" s="483">
        <v>48.328862756737053</v>
      </c>
      <c r="T70" s="482">
        <v>2.7906513823385701E-2</v>
      </c>
      <c r="U70" s="482">
        <v>5.9831560096167045E-2</v>
      </c>
      <c r="V70" s="482">
        <v>3.6916203574769824E-2</v>
      </c>
      <c r="W70" s="482">
        <v>0.37613202647005795</v>
      </c>
      <c r="X70" s="482">
        <v>1.0275118300474612E-3</v>
      </c>
      <c r="Y70" s="482">
        <v>0.64541139642752032</v>
      </c>
      <c r="Z70" s="482">
        <v>0.64541139642752032</v>
      </c>
      <c r="AA70" s="484">
        <v>0.13883834911386736</v>
      </c>
    </row>
    <row r="71" spans="1:27" ht="14">
      <c r="A71" s="147" t="s">
        <v>690</v>
      </c>
      <c r="B71" s="268">
        <v>34</v>
      </c>
      <c r="C71" s="482">
        <v>0.15421952380952383</v>
      </c>
      <c r="D71" s="482">
        <v>6.2439260586428812E-2</v>
      </c>
      <c r="E71" s="482">
        <v>0.12190476293616061</v>
      </c>
      <c r="F71" s="482">
        <v>0.22522512776040074</v>
      </c>
      <c r="G71" s="483">
        <v>0.71324860781282196</v>
      </c>
      <c r="H71" s="483">
        <v>0.93601519568329949</v>
      </c>
      <c r="I71" s="482">
        <v>8.1246277727475155E-2</v>
      </c>
      <c r="J71" s="482">
        <v>0.44582095697030294</v>
      </c>
      <c r="K71" s="482">
        <v>5.0672000000000002E-2</v>
      </c>
      <c r="L71" s="482">
        <v>0.31203103723478104</v>
      </c>
      <c r="M71" s="482">
        <v>6.7753344955776618E-2</v>
      </c>
      <c r="N71" s="483">
        <v>2.3410772864573137</v>
      </c>
      <c r="O71" s="483">
        <v>1.2705674096880286</v>
      </c>
      <c r="P71" s="483">
        <v>14.787289857638292</v>
      </c>
      <c r="Q71" s="483">
        <v>21.726328524343721</v>
      </c>
      <c r="R71" s="483">
        <v>7.4786700332501184</v>
      </c>
      <c r="S71" s="483">
        <v>54.826415084048953</v>
      </c>
      <c r="T71" s="482">
        <v>0.11033017274197375</v>
      </c>
      <c r="U71" s="482">
        <v>2.1234037022938732E-2</v>
      </c>
      <c r="V71" s="482">
        <v>2.2505842452300528E-2</v>
      </c>
      <c r="W71" s="482">
        <v>0.461778096222205</v>
      </c>
      <c r="X71" s="482">
        <v>0.34384064730254443</v>
      </c>
      <c r="Y71" s="482">
        <v>6.7783398977080522E-2</v>
      </c>
      <c r="Z71" s="482">
        <v>6.7783398977080522E-2</v>
      </c>
      <c r="AA71" s="484">
        <v>5.8382588604718601E-2</v>
      </c>
    </row>
    <row r="72" spans="1:27" ht="14">
      <c r="A72" s="147" t="s">
        <v>691</v>
      </c>
      <c r="B72" s="268">
        <v>14</v>
      </c>
      <c r="C72" s="482">
        <v>7.3341666666666624E-3</v>
      </c>
      <c r="D72" s="482">
        <v>0.11938529703816875</v>
      </c>
      <c r="E72" s="482">
        <v>0.34946565244857392</v>
      </c>
      <c r="F72" s="482">
        <v>0.24093993307490971</v>
      </c>
      <c r="G72" s="483">
        <v>1.3176570660974836</v>
      </c>
      <c r="H72" s="483">
        <v>1.5353094340291733</v>
      </c>
      <c r="I72" s="482">
        <v>0.10797480075770113</v>
      </c>
      <c r="J72" s="482">
        <v>0.45883505690255144</v>
      </c>
      <c r="K72" s="482">
        <v>5.2913000000000002E-2</v>
      </c>
      <c r="L72" s="482">
        <v>0.18889906581311239</v>
      </c>
      <c r="M72" s="482">
        <v>9.5074873965241363E-2</v>
      </c>
      <c r="N72" s="483">
        <v>3.4070573133550934</v>
      </c>
      <c r="O72" s="483">
        <v>2.2589926761243846</v>
      </c>
      <c r="P72" s="483">
        <v>14.422181645255634</v>
      </c>
      <c r="Q72" s="483">
        <v>19.102771953139438</v>
      </c>
      <c r="R72" s="483">
        <v>132.20440711686419</v>
      </c>
      <c r="S72" s="483">
        <v>23.465276718235696</v>
      </c>
      <c r="T72" s="482">
        <v>9.607380193514467E-2</v>
      </c>
      <c r="U72" s="482">
        <v>2.4202085322865427E-2</v>
      </c>
      <c r="V72" s="482">
        <v>5.7548496494318348E-2</v>
      </c>
      <c r="W72" s="482">
        <v>0.73515547992216057</v>
      </c>
      <c r="X72" s="482" t="s">
        <v>88</v>
      </c>
      <c r="Y72" s="482">
        <v>0.54007474054775628</v>
      </c>
      <c r="Z72" s="482">
        <v>0.54007474054775628</v>
      </c>
      <c r="AA72" s="484">
        <v>0.11809039346442812</v>
      </c>
    </row>
    <row r="73" spans="1:27" ht="14">
      <c r="A73" s="147" t="s">
        <v>692</v>
      </c>
      <c r="B73" s="268">
        <v>62</v>
      </c>
      <c r="C73" s="482">
        <v>0.10115166666666661</v>
      </c>
      <c r="D73" s="482">
        <v>0.10097162945597332</v>
      </c>
      <c r="E73" s="482">
        <v>0.16113990666952829</v>
      </c>
      <c r="F73" s="482">
        <v>0.23404243925227916</v>
      </c>
      <c r="G73" s="483">
        <v>0.80163202888309548</v>
      </c>
      <c r="H73" s="483">
        <v>0.94843381457270293</v>
      </c>
      <c r="I73" s="482">
        <v>8.1800148129942546E-2</v>
      </c>
      <c r="J73" s="482">
        <v>0.39292351639796591</v>
      </c>
      <c r="K73" s="482">
        <v>5.0672000000000002E-2</v>
      </c>
      <c r="L73" s="482">
        <v>0.22019000804841693</v>
      </c>
      <c r="M73" s="482">
        <v>7.2156673920720837E-2</v>
      </c>
      <c r="N73" s="483">
        <v>1.8301306024273734</v>
      </c>
      <c r="O73" s="483">
        <v>1.8948021917754749</v>
      </c>
      <c r="P73" s="483">
        <v>13.708307327996817</v>
      </c>
      <c r="Q73" s="483">
        <v>17.109089618224083</v>
      </c>
      <c r="R73" s="483">
        <v>4.0417073599234126</v>
      </c>
      <c r="S73" s="483">
        <v>28.796599056717547</v>
      </c>
      <c r="T73" s="482">
        <v>0.17428163666187824</v>
      </c>
      <c r="U73" s="482">
        <v>5.6154619953265678E-2</v>
      </c>
      <c r="V73" s="482">
        <v>0.115792693288742</v>
      </c>
      <c r="W73" s="482">
        <v>1.5220675878349881</v>
      </c>
      <c r="X73" s="482">
        <v>0.18333732427332741</v>
      </c>
      <c r="Y73" s="482">
        <v>0.35151398729796973</v>
      </c>
      <c r="Z73" s="482">
        <v>0.35151398729796979</v>
      </c>
      <c r="AA73" s="484">
        <v>0.10321020613816267</v>
      </c>
    </row>
    <row r="74" spans="1:27" ht="14">
      <c r="A74" s="147" t="s">
        <v>628</v>
      </c>
      <c r="B74" s="268">
        <v>23</v>
      </c>
      <c r="C74" s="482">
        <v>9.9217647058823535E-2</v>
      </c>
      <c r="D74" s="482">
        <v>6.8023334450250744E-2</v>
      </c>
      <c r="E74" s="482">
        <v>0.13590825384807578</v>
      </c>
      <c r="F74" s="482">
        <v>0.19932835478876912</v>
      </c>
      <c r="G74" s="483">
        <v>0.78092803999844673</v>
      </c>
      <c r="H74" s="483">
        <v>0.80524053959128561</v>
      </c>
      <c r="I74" s="482">
        <v>7.5413728065771346E-2</v>
      </c>
      <c r="J74" s="482">
        <v>0.43342745933177196</v>
      </c>
      <c r="K74" s="482">
        <v>5.0672000000000002E-2</v>
      </c>
      <c r="L74" s="482">
        <v>7.3591004780891797E-2</v>
      </c>
      <c r="M74" s="482">
        <v>7.2660708588831294E-2</v>
      </c>
      <c r="N74" s="483">
        <v>3.5063183990070903</v>
      </c>
      <c r="O74" s="483">
        <v>2.1092145816583989</v>
      </c>
      <c r="P74" s="483">
        <v>17.37850333571857</v>
      </c>
      <c r="Q74" s="483">
        <v>32.437651793285305</v>
      </c>
      <c r="R74" s="483">
        <v>7.192707124449913</v>
      </c>
      <c r="S74" s="483">
        <v>51.004021101765886</v>
      </c>
      <c r="T74" s="482">
        <v>-1.0928698694420832E-3</v>
      </c>
      <c r="U74" s="482">
        <v>8.1751214514873771E-2</v>
      </c>
      <c r="V74" s="482">
        <v>4.8661672732136979E-2</v>
      </c>
      <c r="W74" s="482">
        <v>0.93965934455082523</v>
      </c>
      <c r="X74" s="482">
        <v>0.26052308288353043</v>
      </c>
      <c r="Y74" s="482">
        <v>0.11726860120191408</v>
      </c>
      <c r="Z74" s="482">
        <v>0.11726860120191407</v>
      </c>
      <c r="AA74" s="484">
        <v>7.1164331320580199E-2</v>
      </c>
    </row>
    <row r="75" spans="1:27" ht="14">
      <c r="A75" s="147" t="s">
        <v>693</v>
      </c>
      <c r="B75" s="268">
        <v>15</v>
      </c>
      <c r="C75" s="482">
        <v>-2.6340000000000013E-2</v>
      </c>
      <c r="D75" s="482">
        <v>2.2919042843655636E-2</v>
      </c>
      <c r="E75" s="482">
        <v>6.7632195602143341E-2</v>
      </c>
      <c r="F75" s="482">
        <v>0.16832507879333636</v>
      </c>
      <c r="G75" s="483">
        <v>0.84836111769195177</v>
      </c>
      <c r="H75" s="483">
        <v>1.1183037944931133</v>
      </c>
      <c r="I75" s="482">
        <v>8.937634923439286E-2</v>
      </c>
      <c r="J75" s="482">
        <v>0.49422948358524749</v>
      </c>
      <c r="K75" s="482">
        <v>5.2913000000000002E-2</v>
      </c>
      <c r="L75" s="482">
        <v>0.341889525326874</v>
      </c>
      <c r="M75" s="482">
        <v>7.2387311959413031E-2</v>
      </c>
      <c r="N75" s="483">
        <v>4.6478965875308882</v>
      </c>
      <c r="O75" s="483">
        <v>0.49009499125669137</v>
      </c>
      <c r="P75" s="483">
        <v>8.9415966127941466</v>
      </c>
      <c r="Q75" s="483">
        <v>26.533289407595309</v>
      </c>
      <c r="R75" s="483">
        <v>3.9348693863237081</v>
      </c>
      <c r="S75" s="483">
        <v>20.541451245026416</v>
      </c>
      <c r="T75" s="482">
        <v>6.1019594055181277E-4</v>
      </c>
      <c r="U75" s="482">
        <v>-1.2862784767552833E-3</v>
      </c>
      <c r="V75" s="482">
        <v>-1.9020964749503308E-2</v>
      </c>
      <c r="W75" s="482">
        <v>-0.986095767319352</v>
      </c>
      <c r="X75" s="482">
        <v>0.12897574047835317</v>
      </c>
      <c r="Y75" s="482">
        <v>0.37436918299785599</v>
      </c>
      <c r="Z75" s="482">
        <v>0.37436918299785593</v>
      </c>
      <c r="AA75" s="484">
        <v>1.7271129340585549E-2</v>
      </c>
    </row>
    <row r="76" spans="1:27" ht="14">
      <c r="A76" s="147" t="s">
        <v>861</v>
      </c>
      <c r="B76" s="268">
        <v>26</v>
      </c>
      <c r="C76" s="482">
        <v>0.131436</v>
      </c>
      <c r="D76" s="482">
        <v>0.4024828941128652</v>
      </c>
      <c r="E76" s="482">
        <v>5.1639531083079775E-2</v>
      </c>
      <c r="F76" s="482">
        <v>1.5307416234543993E-2</v>
      </c>
      <c r="G76" s="483">
        <v>0.44271597266059598</v>
      </c>
      <c r="H76" s="483">
        <v>0.62073902174481399</v>
      </c>
      <c r="I76" s="482">
        <v>6.7184960369818705E-2</v>
      </c>
      <c r="J76" s="482">
        <v>0.18768911101930999</v>
      </c>
      <c r="K76" s="482">
        <v>4.7306000000000001E-2</v>
      </c>
      <c r="L76" s="482">
        <v>0.36069480685134975</v>
      </c>
      <c r="M76" s="482">
        <v>5.5748965465593825E-2</v>
      </c>
      <c r="N76" s="483">
        <v>0.1358141102577872</v>
      </c>
      <c r="O76" s="483">
        <v>12.043634861795587</v>
      </c>
      <c r="P76" s="483">
        <v>16.726861437702844</v>
      </c>
      <c r="Q76" s="483">
        <v>31.16527146395935</v>
      </c>
      <c r="R76" s="483">
        <v>2.0756544756447797</v>
      </c>
      <c r="S76" s="483">
        <v>368.68693061769045</v>
      </c>
      <c r="T76" s="482">
        <v>1.2444391753042881E-2</v>
      </c>
      <c r="U76" s="482">
        <v>5.0373092759448714E-2</v>
      </c>
      <c r="V76" s="482">
        <v>-0.22854658296261168</v>
      </c>
      <c r="W76" s="482">
        <v>-0.61319319906341063</v>
      </c>
      <c r="X76" s="482">
        <v>6.3643754003510064E-2</v>
      </c>
      <c r="Y76" s="482">
        <v>1.6143339107636889</v>
      </c>
      <c r="Z76" s="482">
        <v>1.6143339107636889</v>
      </c>
      <c r="AA76" s="484">
        <v>0.38644408651223472</v>
      </c>
    </row>
    <row r="77" spans="1:27" ht="14">
      <c r="A77" s="147" t="s">
        <v>694</v>
      </c>
      <c r="B77" s="268">
        <v>94</v>
      </c>
      <c r="C77" s="482">
        <v>6.9604333333333324E-2</v>
      </c>
      <c r="D77" s="482">
        <v>7.7273544503436833E-2</v>
      </c>
      <c r="E77" s="482">
        <v>0.21539093465658196</v>
      </c>
      <c r="F77" s="482">
        <v>0.24414952499950698</v>
      </c>
      <c r="G77" s="483">
        <v>1.0018775790318082</v>
      </c>
      <c r="H77" s="483">
        <v>1.0893996802924664</v>
      </c>
      <c r="I77" s="482">
        <v>8.8087225741043995E-2</v>
      </c>
      <c r="J77" s="482">
        <v>0.53245167475582067</v>
      </c>
      <c r="K77" s="482">
        <v>5.2913000000000002E-2</v>
      </c>
      <c r="L77" s="482">
        <v>0.16500348484868904</v>
      </c>
      <c r="M77" s="482">
        <v>8.0100648568467603E-2</v>
      </c>
      <c r="N77" s="483">
        <v>2.9884471770895602</v>
      </c>
      <c r="O77" s="483">
        <v>1.6260838705735732</v>
      </c>
      <c r="P77" s="483">
        <v>11.467549343074285</v>
      </c>
      <c r="Q77" s="483">
        <v>20.017795946674621</v>
      </c>
      <c r="R77" s="483">
        <v>7.2542633395169673</v>
      </c>
      <c r="S77" s="483">
        <v>314.00976163491242</v>
      </c>
      <c r="T77" s="482">
        <v>9.8028796924800266E-2</v>
      </c>
      <c r="U77" s="482">
        <v>3.4673938140797285E-2</v>
      </c>
      <c r="V77" s="482">
        <v>1.5903178825340682E-2</v>
      </c>
      <c r="W77" s="482">
        <v>0.38365406026434762</v>
      </c>
      <c r="X77" s="482">
        <v>0.30115075589442497</v>
      </c>
      <c r="Y77" s="482">
        <v>0.29933168502542606</v>
      </c>
      <c r="Z77" s="482">
        <v>0.29933168502542606</v>
      </c>
      <c r="AA77" s="484">
        <v>8.075162903461014E-2</v>
      </c>
    </row>
    <row r="78" spans="1:27" ht="14">
      <c r="A78" s="147" t="s">
        <v>695</v>
      </c>
      <c r="B78" s="268">
        <v>3</v>
      </c>
      <c r="C78" s="482">
        <v>-0.13225000000000001</v>
      </c>
      <c r="D78" s="482">
        <v>2.2423698766480909E-2</v>
      </c>
      <c r="E78" s="482">
        <v>3.1681472594570922E-2</v>
      </c>
      <c r="F78" s="482" t="e">
        <v>#DIV/0!</v>
      </c>
      <c r="G78" s="483">
        <v>0.15435790814828812</v>
      </c>
      <c r="H78" s="483">
        <v>0.52943015741353394</v>
      </c>
      <c r="I78" s="482">
        <v>6.3112585020643611E-2</v>
      </c>
      <c r="J78" s="482">
        <v>0.50767160367361974</v>
      </c>
      <c r="K78" s="482">
        <v>5.2913000000000002E-2</v>
      </c>
      <c r="L78" s="482">
        <v>0.78188434296294884</v>
      </c>
      <c r="M78" s="482">
        <v>4.479472762848332E-2</v>
      </c>
      <c r="N78" s="483">
        <v>1.3941683441357997</v>
      </c>
      <c r="O78" s="483">
        <v>0.5884475951540894</v>
      </c>
      <c r="P78" s="483">
        <v>6.7440247169948808</v>
      </c>
      <c r="Q78" s="483">
        <v>22.841628600788916</v>
      </c>
      <c r="R78" s="483">
        <v>0.78914970658009753</v>
      </c>
      <c r="S78" s="483" t="e">
        <v>#DIV/0!</v>
      </c>
      <c r="T78" s="482">
        <v>0.12928145997819379</v>
      </c>
      <c r="U78" s="482">
        <v>5.0502596379427916E-2</v>
      </c>
      <c r="V78" s="482">
        <v>-3.2632866871333993E-4</v>
      </c>
      <c r="W78" s="482">
        <v>0.3864725146795398</v>
      </c>
      <c r="X78" s="482">
        <v>-0.3640800083778406</v>
      </c>
      <c r="Y78" s="482" t="e">
        <v>#DIV/0!</v>
      </c>
      <c r="Z78" s="482" t="e">
        <v>#DIV/0!</v>
      </c>
      <c r="AA78" s="484">
        <v>2.4946978567715397E-2</v>
      </c>
    </row>
    <row r="79" spans="1:27" ht="14">
      <c r="A79" s="147" t="s">
        <v>696</v>
      </c>
      <c r="B79" s="268">
        <v>66</v>
      </c>
      <c r="C79" s="482">
        <v>0.11177130434782612</v>
      </c>
      <c r="D79" s="482">
        <v>0.35327791914252643</v>
      </c>
      <c r="E79" s="482">
        <v>0.27226966835133587</v>
      </c>
      <c r="F79" s="482">
        <v>0.15790418212542343</v>
      </c>
      <c r="G79" s="483">
        <v>1.5046492754744247</v>
      </c>
      <c r="H79" s="483">
        <v>1.5181994029054893</v>
      </c>
      <c r="I79" s="482">
        <v>0.10721169336958483</v>
      </c>
      <c r="J79" s="482">
        <v>0.55827208180103249</v>
      </c>
      <c r="K79" s="482">
        <v>5.2913000000000002E-2</v>
      </c>
      <c r="L79" s="482">
        <v>2.5256621804536385E-2</v>
      </c>
      <c r="M79" s="482">
        <v>0.10550619089928288</v>
      </c>
      <c r="N79" s="483">
        <v>1.2066681380587509</v>
      </c>
      <c r="O79" s="483">
        <v>15.70064938278062</v>
      </c>
      <c r="P79" s="483">
        <v>34.753098805752828</v>
      </c>
      <c r="Q79" s="483">
        <v>44.298630998346304</v>
      </c>
      <c r="R79" s="483">
        <v>13.312176209461422</v>
      </c>
      <c r="S79" s="483">
        <v>100.18440334282509</v>
      </c>
      <c r="T79" s="482">
        <v>0.22617981053567593</v>
      </c>
      <c r="U79" s="482">
        <v>0.10548971231981431</v>
      </c>
      <c r="V79" s="482">
        <v>4.4119120786416277E-2</v>
      </c>
      <c r="W79" s="482">
        <v>0.35285798185003742</v>
      </c>
      <c r="X79" s="482">
        <v>0.31364715776513896</v>
      </c>
      <c r="Y79" s="482">
        <v>0.16392167187321499</v>
      </c>
      <c r="Z79" s="482">
        <v>0.16392167187321505</v>
      </c>
      <c r="AA79" s="484">
        <v>0.36466718438536783</v>
      </c>
    </row>
    <row r="80" spans="1:27" ht="14">
      <c r="A80" s="147" t="s">
        <v>697</v>
      </c>
      <c r="B80" s="268">
        <v>31</v>
      </c>
      <c r="C80" s="482">
        <v>9.3788076923076905E-2</v>
      </c>
      <c r="D80" s="482">
        <v>0.2617117457785153</v>
      </c>
      <c r="E80" s="482">
        <v>0.28404463068412095</v>
      </c>
      <c r="F80" s="482">
        <v>0.17065978345154367</v>
      </c>
      <c r="G80" s="483">
        <v>1.3916911563373942</v>
      </c>
      <c r="H80" s="483">
        <v>1.3972234247394333</v>
      </c>
      <c r="I80" s="482">
        <v>0.10181616474337873</v>
      </c>
      <c r="J80" s="482">
        <v>0.50077408619264041</v>
      </c>
      <c r="K80" s="482">
        <v>5.2913000000000002E-2</v>
      </c>
      <c r="L80" s="482">
        <v>4.6359019100179664E-2</v>
      </c>
      <c r="M80" s="482">
        <v>9.8935813300569247E-2</v>
      </c>
      <c r="N80" s="483">
        <v>1.8511086722832097</v>
      </c>
      <c r="O80" s="483">
        <v>7.6070090433977819</v>
      </c>
      <c r="P80" s="483">
        <v>24.7432463754865</v>
      </c>
      <c r="Q80" s="483">
        <v>28.810671952336421</v>
      </c>
      <c r="R80" s="483">
        <v>9.7025935862319965</v>
      </c>
      <c r="S80" s="483">
        <v>46.825234062928828</v>
      </c>
      <c r="T80" s="482">
        <v>0.29493566539261384</v>
      </c>
      <c r="U80" s="482">
        <v>6.3159190377094512E-2</v>
      </c>
      <c r="V80" s="482">
        <v>4.1368684423741087E-2</v>
      </c>
      <c r="W80" s="482">
        <v>0.27453102170954213</v>
      </c>
      <c r="X80" s="482">
        <v>0.35777973162747567</v>
      </c>
      <c r="Y80" s="482">
        <v>0.19356443544079521</v>
      </c>
      <c r="Z80" s="482">
        <v>0.19356443544079527</v>
      </c>
      <c r="AA80" s="484">
        <v>0.26863499535943702</v>
      </c>
    </row>
    <row r="81" spans="1:27" ht="14">
      <c r="A81" s="147" t="s">
        <v>698</v>
      </c>
      <c r="B81" s="268">
        <v>8</v>
      </c>
      <c r="C81" s="482">
        <v>-1.1799999999999996E-3</v>
      </c>
      <c r="D81" s="482">
        <v>0.12602123883804783</v>
      </c>
      <c r="E81" s="482">
        <v>0.11992332943837858</v>
      </c>
      <c r="F81" s="482">
        <v>0.20577998101466088</v>
      </c>
      <c r="G81" s="483">
        <v>0.66076679994905119</v>
      </c>
      <c r="H81" s="483">
        <v>0.7529325380371511</v>
      </c>
      <c r="I81" s="482">
        <v>7.308079119645694E-2</v>
      </c>
      <c r="J81" s="482">
        <v>0.50086763268384904</v>
      </c>
      <c r="K81" s="482">
        <v>5.2913000000000002E-2</v>
      </c>
      <c r="L81" s="482">
        <v>0.18400783731645468</v>
      </c>
      <c r="M81" s="482">
        <v>6.6935657880965671E-2</v>
      </c>
      <c r="N81" s="483">
        <v>0.93640072791678797</v>
      </c>
      <c r="O81" s="483">
        <v>1.7362537616576743</v>
      </c>
      <c r="P81" s="483">
        <v>7.9530074987797788</v>
      </c>
      <c r="Q81" s="483">
        <v>12.812285375545873</v>
      </c>
      <c r="R81" s="483">
        <v>1.4992122096709357</v>
      </c>
      <c r="S81" s="483">
        <v>18.873176612753507</v>
      </c>
      <c r="T81" s="482">
        <v>9.6277003710361617E-2</v>
      </c>
      <c r="U81" s="482">
        <v>0.11673421736064171</v>
      </c>
      <c r="V81" s="482">
        <v>4.8918883710612718E-2</v>
      </c>
      <c r="W81" s="482">
        <v>0.36708062720816004</v>
      </c>
      <c r="X81" s="482">
        <v>0.10153624613557122</v>
      </c>
      <c r="Y81" s="482">
        <v>0.14665103124784443</v>
      </c>
      <c r="Z81" s="482">
        <v>0.1466510312478444</v>
      </c>
      <c r="AA81" s="484">
        <v>0.13517329302988534</v>
      </c>
    </row>
    <row r="82" spans="1:27" ht="14">
      <c r="A82" s="147" t="s">
        <v>699</v>
      </c>
      <c r="B82" s="268">
        <v>11</v>
      </c>
      <c r="C82" s="482">
        <v>0.12427285714285714</v>
      </c>
      <c r="D82" s="482">
        <v>9.0349318831568326E-2</v>
      </c>
      <c r="E82" s="482">
        <v>0.20929696659653424</v>
      </c>
      <c r="F82" s="482">
        <v>0.18953067831189199</v>
      </c>
      <c r="G82" s="483">
        <v>1.0001868235248257</v>
      </c>
      <c r="H82" s="483">
        <v>1.0173183278612625</v>
      </c>
      <c r="I82" s="482">
        <v>8.4872397422612308E-2</v>
      </c>
      <c r="J82" s="482">
        <v>0.50082762060196895</v>
      </c>
      <c r="K82" s="482">
        <v>5.2913000000000002E-2</v>
      </c>
      <c r="L82" s="482">
        <v>0.1067020183928412</v>
      </c>
      <c r="M82" s="482">
        <v>8.0050784236195494E-2</v>
      </c>
      <c r="N82" s="483">
        <v>2.6221001112048636</v>
      </c>
      <c r="O82" s="483">
        <v>2.0409765218719707</v>
      </c>
      <c r="P82" s="483">
        <v>16.864739523873123</v>
      </c>
      <c r="Q82" s="483">
        <v>22.318821685004988</v>
      </c>
      <c r="R82" s="483">
        <v>6.0602994604913256</v>
      </c>
      <c r="S82" s="483">
        <v>24.474827662843577</v>
      </c>
      <c r="T82" s="482">
        <v>0.1655533897217753</v>
      </c>
      <c r="U82" s="482">
        <v>1.3260495520836418E-2</v>
      </c>
      <c r="V82" s="482">
        <v>3.9925912035346468E-3</v>
      </c>
      <c r="W82" s="482">
        <v>0.19105787060449961</v>
      </c>
      <c r="X82" s="482">
        <v>0.19489711934156381</v>
      </c>
      <c r="Y82" s="482">
        <v>0.64930701275809977</v>
      </c>
      <c r="Z82" s="482">
        <v>0.64930701275809977</v>
      </c>
      <c r="AA82" s="484">
        <v>9.1491963483865013E-2</v>
      </c>
    </row>
    <row r="83" spans="1:27" ht="14">
      <c r="A83" s="147" t="s">
        <v>700</v>
      </c>
      <c r="B83" s="268">
        <v>77</v>
      </c>
      <c r="C83" s="482">
        <v>0.16715064516129036</v>
      </c>
      <c r="D83" s="482">
        <v>0.33849712300310908</v>
      </c>
      <c r="E83" s="482">
        <v>0.27019166407730671</v>
      </c>
      <c r="F83" s="482">
        <v>0.22495566166846409</v>
      </c>
      <c r="G83" s="483">
        <v>1.0206917427212765</v>
      </c>
      <c r="H83" s="483">
        <v>1.0283112480847569</v>
      </c>
      <c r="I83" s="482">
        <v>8.5362681664580164E-2</v>
      </c>
      <c r="J83" s="482">
        <v>0.57061843706583615</v>
      </c>
      <c r="K83" s="482">
        <v>5.2913000000000002E-2</v>
      </c>
      <c r="L83" s="482">
        <v>2.0036431277270336E-2</v>
      </c>
      <c r="M83" s="482">
        <v>8.4447458925894961E-2</v>
      </c>
      <c r="N83" s="483">
        <v>1.3447422464090115</v>
      </c>
      <c r="O83" s="483">
        <v>9.1276446818775305</v>
      </c>
      <c r="P83" s="483">
        <v>22.014234590512519</v>
      </c>
      <c r="Q83" s="483">
        <v>26.976060609081149</v>
      </c>
      <c r="R83" s="483">
        <v>9.098095158592308</v>
      </c>
      <c r="S83" s="483">
        <v>39.340287731341554</v>
      </c>
      <c r="T83" s="482">
        <v>7.2479517989072248E-2</v>
      </c>
      <c r="U83" s="482">
        <v>0.22942390587002706</v>
      </c>
      <c r="V83" s="482">
        <v>0.1952111132285167</v>
      </c>
      <c r="W83" s="482">
        <v>0.82363942303646154</v>
      </c>
      <c r="X83" s="482">
        <v>0.36508850605050824</v>
      </c>
      <c r="Y83" s="482">
        <v>8.3369336651674078E-2</v>
      </c>
      <c r="Z83" s="482">
        <v>8.336933665167412E-2</v>
      </c>
      <c r="AA83" s="484">
        <v>0.36000530191567459</v>
      </c>
    </row>
    <row r="84" spans="1:27" ht="14">
      <c r="A84" s="147" t="s">
        <v>701</v>
      </c>
      <c r="B84" s="268">
        <v>29</v>
      </c>
      <c r="C84" s="482">
        <v>0.29179500000000003</v>
      </c>
      <c r="D84" s="482">
        <v>3.6861419975932612E-2</v>
      </c>
      <c r="E84" s="482">
        <v>3.4347801967415575E-2</v>
      </c>
      <c r="F84" s="482">
        <v>0.17146716153692687</v>
      </c>
      <c r="G84" s="483">
        <v>1.5905250877083126</v>
      </c>
      <c r="H84" s="483">
        <v>1.6886761161660595</v>
      </c>
      <c r="I84" s="482">
        <v>0.11481495478100626</v>
      </c>
      <c r="J84" s="482">
        <v>0.52612315182151104</v>
      </c>
      <c r="K84" s="482">
        <v>5.2913000000000002E-2</v>
      </c>
      <c r="L84" s="482">
        <v>0.10951941738377791</v>
      </c>
      <c r="M84" s="482">
        <v>0.10658673852546652</v>
      </c>
      <c r="N84" s="483">
        <v>1.3500967702032756</v>
      </c>
      <c r="O84" s="483">
        <v>9.5610366186830369</v>
      </c>
      <c r="P84" s="483">
        <v>30.260603846268271</v>
      </c>
      <c r="Q84" s="483">
        <v>172.98954205996642</v>
      </c>
      <c r="R84" s="483">
        <v>10.855737135544949</v>
      </c>
      <c r="S84" s="483">
        <v>67.211436504465823</v>
      </c>
      <c r="T84" s="482">
        <v>0.14797882069795426</v>
      </c>
      <c r="U84" s="482">
        <v>0.33668277118789747</v>
      </c>
      <c r="V84" s="482">
        <v>0.26011127110194243</v>
      </c>
      <c r="W84" s="482">
        <v>14.14213936786985</v>
      </c>
      <c r="X84" s="482">
        <v>-1.469962217495586E-2</v>
      </c>
      <c r="Y84" s="482">
        <v>2.2003390875462395E-4</v>
      </c>
      <c r="Z84" s="482">
        <v>2.2003390875457995E-4</v>
      </c>
      <c r="AA84" s="484">
        <v>4.7049007705717738E-2</v>
      </c>
    </row>
    <row r="85" spans="1:27" ht="14">
      <c r="A85" s="147" t="s">
        <v>702</v>
      </c>
      <c r="B85" s="268">
        <v>309</v>
      </c>
      <c r="C85" s="482">
        <v>0.19564499999999993</v>
      </c>
      <c r="D85" s="482">
        <v>0.32982513736047653</v>
      </c>
      <c r="E85" s="482">
        <v>0.29318429492833842</v>
      </c>
      <c r="F85" s="482">
        <v>0.18011182809869461</v>
      </c>
      <c r="G85" s="483">
        <v>1.2481994174665423</v>
      </c>
      <c r="H85" s="483">
        <v>1.2766481780781751</v>
      </c>
      <c r="I85" s="482">
        <v>9.6438508742286613E-2</v>
      </c>
      <c r="J85" s="482">
        <v>0.5678932632947824</v>
      </c>
      <c r="K85" s="482">
        <v>5.2913000000000002E-2</v>
      </c>
      <c r="L85" s="482">
        <v>5.2825188757969752E-2</v>
      </c>
      <c r="M85" s="482">
        <v>9.3440480724001046E-2</v>
      </c>
      <c r="N85" s="483">
        <v>1.5381715801685372</v>
      </c>
      <c r="O85" s="483">
        <v>11.408763673096576</v>
      </c>
      <c r="P85" s="483">
        <v>24.483535769825444</v>
      </c>
      <c r="Q85" s="483">
        <v>32.412339491361159</v>
      </c>
      <c r="R85" s="483">
        <v>9.1370896769940284</v>
      </c>
      <c r="S85" s="483">
        <v>79.174208686990298</v>
      </c>
      <c r="T85" s="482">
        <v>0.10046216066901616</v>
      </c>
      <c r="U85" s="482">
        <v>0.17788285347207133</v>
      </c>
      <c r="V85" s="482">
        <v>0.17820691047928386</v>
      </c>
      <c r="W85" s="482">
        <v>0.73778744732916368</v>
      </c>
      <c r="X85" s="482">
        <v>0.29624894691289277</v>
      </c>
      <c r="Y85" s="482">
        <v>0.20984272413063565</v>
      </c>
      <c r="Z85" s="482">
        <v>0.20984272413063565</v>
      </c>
      <c r="AA85" s="484">
        <v>0.34449305784609674</v>
      </c>
    </row>
    <row r="86" spans="1:27" ht="14">
      <c r="A86" s="147" t="s">
        <v>703</v>
      </c>
      <c r="B86" s="268">
        <v>19</v>
      </c>
      <c r="C86" s="482">
        <v>0.11373529411764703</v>
      </c>
      <c r="D86" s="482">
        <v>4.0959179638417088E-2</v>
      </c>
      <c r="E86" s="482">
        <v>6.720259161412713E-2</v>
      </c>
      <c r="F86" s="482">
        <v>0.20550381998555636</v>
      </c>
      <c r="G86" s="483">
        <v>0.94494297510184955</v>
      </c>
      <c r="H86" s="483">
        <v>1.062846247426205</v>
      </c>
      <c r="I86" s="482">
        <v>8.6902942635208744E-2</v>
      </c>
      <c r="J86" s="482">
        <v>0.38509854793902265</v>
      </c>
      <c r="K86" s="482">
        <v>5.0672000000000002E-2</v>
      </c>
      <c r="L86" s="482">
        <v>0.19036813609339581</v>
      </c>
      <c r="M86" s="482">
        <v>7.7594142068806174E-2</v>
      </c>
      <c r="N86" s="483">
        <v>1.8036827756232885</v>
      </c>
      <c r="O86" s="483">
        <v>1.1692375062240556</v>
      </c>
      <c r="P86" s="483">
        <v>11.590977789930404</v>
      </c>
      <c r="Q86" s="483">
        <v>24.559637652919093</v>
      </c>
      <c r="R86" s="483">
        <v>1.8758162820537509</v>
      </c>
      <c r="S86" s="483">
        <v>47.575359734833086</v>
      </c>
      <c r="T86" s="482">
        <v>0.21605213461055187</v>
      </c>
      <c r="U86" s="482">
        <v>6.5231828462459521E-2</v>
      </c>
      <c r="V86" s="482">
        <v>5.6934034399160324E-2</v>
      </c>
      <c r="W86" s="482">
        <v>2.1148871304839734</v>
      </c>
      <c r="X86" s="482">
        <v>3.679172566231069E-2</v>
      </c>
      <c r="Y86" s="482">
        <v>0.65060396481922322</v>
      </c>
      <c r="Z86" s="482">
        <v>0.65060396481922322</v>
      </c>
      <c r="AA86" s="484">
        <v>4.106902683477847E-2</v>
      </c>
    </row>
    <row r="87" spans="1:27" ht="14">
      <c r="A87" s="147" t="s">
        <v>704</v>
      </c>
      <c r="B87" s="268">
        <v>12</v>
      </c>
      <c r="C87" s="482">
        <v>3.7001428571428574E-2</v>
      </c>
      <c r="D87" s="482">
        <v>0.20980028345141027</v>
      </c>
      <c r="E87" s="482">
        <v>0.10372019614469251</v>
      </c>
      <c r="F87" s="482">
        <v>0.22927244748690737</v>
      </c>
      <c r="G87" s="483">
        <v>0.39242083985345116</v>
      </c>
      <c r="H87" s="483">
        <v>0.53813527366401381</v>
      </c>
      <c r="I87" s="482">
        <v>6.3500833205415025E-2</v>
      </c>
      <c r="J87" s="482">
        <v>0.40180999688678365</v>
      </c>
      <c r="K87" s="482">
        <v>5.0672000000000002E-2</v>
      </c>
      <c r="L87" s="482">
        <v>0.3418744765076534</v>
      </c>
      <c r="M87" s="482">
        <v>5.478411670071081E-2</v>
      </c>
      <c r="N87" s="483">
        <v>0.54775576074167498</v>
      </c>
      <c r="O87" s="483">
        <v>3.7170394759116512</v>
      </c>
      <c r="P87" s="483">
        <v>8.9741750927172372</v>
      </c>
      <c r="Q87" s="483">
        <v>18.830186727379285</v>
      </c>
      <c r="R87" s="483">
        <v>3.4718993641277298</v>
      </c>
      <c r="S87" s="483">
        <v>107.13575943262582</v>
      </c>
      <c r="T87" s="482">
        <v>0.12071904971756112</v>
      </c>
      <c r="U87" s="482">
        <v>0.11640848191499424</v>
      </c>
      <c r="V87" s="482">
        <v>3.8185464232577872E-3</v>
      </c>
      <c r="W87" s="482">
        <v>0.16420320614543388</v>
      </c>
      <c r="X87" s="482">
        <v>0.16061396496184466</v>
      </c>
      <c r="Y87" s="482">
        <v>0.5144702760836396</v>
      </c>
      <c r="Z87" s="482">
        <v>0.5144702760836396</v>
      </c>
      <c r="AA87" s="484">
        <v>0.19749991338421513</v>
      </c>
    </row>
    <row r="88" spans="1:27" ht="14">
      <c r="A88" s="147" t="s">
        <v>705</v>
      </c>
      <c r="B88" s="268">
        <v>57</v>
      </c>
      <c r="C88" s="482">
        <v>3.2719756097560976E-2</v>
      </c>
      <c r="D88" s="482">
        <v>0.20696764502165169</v>
      </c>
      <c r="E88" s="482">
        <v>0.25473749091127151</v>
      </c>
      <c r="F88" s="482">
        <v>0.16541221214562443</v>
      </c>
      <c r="G88" s="483">
        <v>0.88725121203588653</v>
      </c>
      <c r="H88" s="483">
        <v>0.92321957538773824</v>
      </c>
      <c r="I88" s="482">
        <v>8.0675593062293133E-2</v>
      </c>
      <c r="J88" s="482">
        <v>0.55263054617352825</v>
      </c>
      <c r="K88" s="482">
        <v>5.2913000000000002E-2</v>
      </c>
      <c r="L88" s="482">
        <v>8.44398133306591E-2</v>
      </c>
      <c r="M88" s="482">
        <v>7.721433392584677E-2</v>
      </c>
      <c r="N88" s="483">
        <v>2.5677137180211171</v>
      </c>
      <c r="O88" s="483">
        <v>6.5160940958665385</v>
      </c>
      <c r="P88" s="483">
        <v>24.073936204375784</v>
      </c>
      <c r="Q88" s="483">
        <v>30.863292873841207</v>
      </c>
      <c r="R88" s="483">
        <v>8.3711163649670315</v>
      </c>
      <c r="S88" s="483">
        <v>84.716084187085954</v>
      </c>
      <c r="T88" s="482">
        <v>0.22251839398668508</v>
      </c>
      <c r="U88" s="482">
        <v>2.8107684465974603E-2</v>
      </c>
      <c r="V88" s="482">
        <v>7.0725572966243974E-2</v>
      </c>
      <c r="W88" s="482">
        <v>0.46607193338596509</v>
      </c>
      <c r="X88" s="482">
        <v>0.24956560530270111</v>
      </c>
      <c r="Y88" s="482">
        <v>0.41449422695360683</v>
      </c>
      <c r="Z88" s="482">
        <v>0.41449422695360683</v>
      </c>
      <c r="AA88" s="484">
        <v>0.22011477780136901</v>
      </c>
    </row>
    <row r="89" spans="1:27" ht="14">
      <c r="A89" s="147" t="s">
        <v>706</v>
      </c>
      <c r="B89" s="268">
        <v>39</v>
      </c>
      <c r="C89" s="482">
        <v>0.13567500000000002</v>
      </c>
      <c r="D89" s="482">
        <v>0.20471219911027341</v>
      </c>
      <c r="E89" s="482">
        <v>0.12036566743047672</v>
      </c>
      <c r="F89" s="482">
        <v>0.18485174754181971</v>
      </c>
      <c r="G89" s="483">
        <v>0.38150035836387236</v>
      </c>
      <c r="H89" s="483">
        <v>0.62872015187456243</v>
      </c>
      <c r="I89" s="482">
        <v>6.7540918773605491E-2</v>
      </c>
      <c r="J89" s="482">
        <v>0.60287759924808859</v>
      </c>
      <c r="K89" s="482">
        <v>5.2913000000000002E-2</v>
      </c>
      <c r="L89" s="482">
        <v>0.4899603993254088</v>
      </c>
      <c r="M89" s="482">
        <v>5.3892499197613762E-2</v>
      </c>
      <c r="N89" s="483">
        <v>0.60287257772240466</v>
      </c>
      <c r="O89" s="483">
        <v>2.6148005630006752</v>
      </c>
      <c r="P89" s="483">
        <v>6.5351994740162294</v>
      </c>
      <c r="Q89" s="483">
        <v>12.216620378929447</v>
      </c>
      <c r="R89" s="483">
        <v>1.6363123432712194</v>
      </c>
      <c r="S89" s="483">
        <v>16.787715827388091</v>
      </c>
      <c r="T89" s="482">
        <v>-3.6879813951230425E-2</v>
      </c>
      <c r="U89" s="482">
        <v>0.16594862027510165</v>
      </c>
      <c r="V89" s="482">
        <v>9.0792852077584054E-3</v>
      </c>
      <c r="W89" s="482">
        <v>0.1195448837923946</v>
      </c>
      <c r="X89" s="482">
        <v>0.19817526096196145</v>
      </c>
      <c r="Y89" s="482">
        <v>0.47681709049527965</v>
      </c>
      <c r="Z89" s="482">
        <v>0.47681709049527965</v>
      </c>
      <c r="AA89" s="484">
        <v>0.20836369863901955</v>
      </c>
    </row>
    <row r="90" spans="1:27" ht="14">
      <c r="A90" s="147" t="s">
        <v>707</v>
      </c>
      <c r="B90" s="268">
        <v>10</v>
      </c>
      <c r="C90" s="482">
        <v>2.911E-2</v>
      </c>
      <c r="D90" s="482">
        <v>0.43538235748026255</v>
      </c>
      <c r="E90" s="482">
        <v>0.63077803505771479</v>
      </c>
      <c r="F90" s="482">
        <v>0.20903824828035658</v>
      </c>
      <c r="G90" s="483">
        <v>0.69029777393117975</v>
      </c>
      <c r="H90" s="483">
        <v>0.79431457970152297</v>
      </c>
      <c r="I90" s="482">
        <v>7.4926430254687926E-2</v>
      </c>
      <c r="J90" s="482">
        <v>0.65957987223902104</v>
      </c>
      <c r="K90" s="482">
        <v>6.0194999999999999E-2</v>
      </c>
      <c r="L90" s="482">
        <v>0.18678362555437486</v>
      </c>
      <c r="M90" s="482">
        <v>6.9363980217054505E-2</v>
      </c>
      <c r="N90" s="483">
        <v>1.8241696810329024</v>
      </c>
      <c r="O90" s="483">
        <v>6.3951929469887778</v>
      </c>
      <c r="P90" s="483">
        <v>13.460903542148296</v>
      </c>
      <c r="Q90" s="483">
        <v>14.631780590251608</v>
      </c>
      <c r="R90" s="483" t="s">
        <v>88</v>
      </c>
      <c r="S90" s="483">
        <v>23.208493270755834</v>
      </c>
      <c r="T90" s="482">
        <v>0.16911807070685669</v>
      </c>
      <c r="U90" s="482">
        <v>2.5026765477526983E-2</v>
      </c>
      <c r="V90" s="482">
        <v>-9.1008705967081886E-3</v>
      </c>
      <c r="W90" s="482">
        <v>2.3804720412749773E-2</v>
      </c>
      <c r="X90" s="482" t="s">
        <v>88</v>
      </c>
      <c r="Y90" s="482">
        <v>0.87604667677463188</v>
      </c>
      <c r="Z90" s="482">
        <v>0.87604667677463188</v>
      </c>
      <c r="AA90" s="484">
        <v>0.43786582652777911</v>
      </c>
    </row>
    <row r="91" spans="1:27" ht="14">
      <c r="A91" s="147" t="s">
        <v>708</v>
      </c>
      <c r="B91" s="268">
        <v>19</v>
      </c>
      <c r="C91" s="482">
        <v>9.1208333333333322E-2</v>
      </c>
      <c r="D91" s="482">
        <v>7.5672221486651092E-2</v>
      </c>
      <c r="E91" s="482">
        <v>0.13000798490840521</v>
      </c>
      <c r="F91" s="482">
        <v>0.15911874589829184</v>
      </c>
      <c r="G91" s="483">
        <v>0.71152664175643354</v>
      </c>
      <c r="H91" s="483">
        <v>0.85992192679131285</v>
      </c>
      <c r="I91" s="482">
        <v>7.7852517934892562E-2</v>
      </c>
      <c r="J91" s="482">
        <v>0.381329406156173</v>
      </c>
      <c r="K91" s="482">
        <v>5.0672000000000002E-2</v>
      </c>
      <c r="L91" s="482">
        <v>0.26712845060384988</v>
      </c>
      <c r="M91" s="482">
        <v>6.7207845080084982E-2</v>
      </c>
      <c r="N91" s="483">
        <v>1.9753481122837149</v>
      </c>
      <c r="O91" s="483">
        <v>1.6396952282383208</v>
      </c>
      <c r="P91" s="483">
        <v>12.549963074582672</v>
      </c>
      <c r="Q91" s="483">
        <v>21.450133764458144</v>
      </c>
      <c r="R91" s="483">
        <v>4.7872603760581089</v>
      </c>
      <c r="S91" s="483">
        <v>28.867828305704808</v>
      </c>
      <c r="T91" s="482">
        <v>6.9614779872660723E-2</v>
      </c>
      <c r="U91" s="482">
        <v>4.926841752620164E-2</v>
      </c>
      <c r="V91" s="482">
        <v>2.2045419101904377E-2</v>
      </c>
      <c r="W91" s="482">
        <v>0.51504794095036088</v>
      </c>
      <c r="X91" s="482">
        <v>0.36582087485719811</v>
      </c>
      <c r="Y91" s="482">
        <v>0.2912283098456141</v>
      </c>
      <c r="Z91" s="482">
        <v>0.2912283098456141</v>
      </c>
      <c r="AA91" s="484">
        <v>7.7057626633708659E-2</v>
      </c>
    </row>
    <row r="92" spans="1:27" ht="14">
      <c r="A92" s="147" t="s">
        <v>709</v>
      </c>
      <c r="B92" s="268">
        <v>4</v>
      </c>
      <c r="C92" s="482">
        <v>4.9100000000000005E-2</v>
      </c>
      <c r="D92" s="482">
        <v>0.37410886113426878</v>
      </c>
      <c r="E92" s="482">
        <v>0.14236959522310544</v>
      </c>
      <c r="F92" s="482">
        <v>0.22435743454239732</v>
      </c>
      <c r="G92" s="483">
        <v>0.81372225399778308</v>
      </c>
      <c r="H92" s="483">
        <v>0.97514574851548541</v>
      </c>
      <c r="I92" s="482">
        <v>8.2991500383790648E-2</v>
      </c>
      <c r="J92" s="482">
        <v>0.23898485836689182</v>
      </c>
      <c r="K92" s="482">
        <v>4.7306000000000001E-2</v>
      </c>
      <c r="L92" s="482">
        <v>0.21747572934841894</v>
      </c>
      <c r="M92" s="482">
        <v>7.2658793447523407E-2</v>
      </c>
      <c r="N92" s="483">
        <v>0.45813411025135731</v>
      </c>
      <c r="O92" s="483">
        <v>6.6655597035043339</v>
      </c>
      <c r="P92" s="483">
        <v>13.48817865261892</v>
      </c>
      <c r="Q92" s="483">
        <v>17.806399782875044</v>
      </c>
      <c r="R92" s="483">
        <v>5.834457605365392</v>
      </c>
      <c r="S92" s="483">
        <v>21.52936812241127</v>
      </c>
      <c r="T92" s="482">
        <v>1.5600286722712646E-2</v>
      </c>
      <c r="U92" s="482">
        <v>0.17861928989380352</v>
      </c>
      <c r="V92" s="482">
        <v>6.4676229284673564E-2</v>
      </c>
      <c r="W92" s="482">
        <v>0.20077787407250486</v>
      </c>
      <c r="X92" s="482">
        <v>0.29067477582274653</v>
      </c>
      <c r="Y92" s="482">
        <v>0.42695761777217583</v>
      </c>
      <c r="Z92" s="482">
        <v>0.42695761777217589</v>
      </c>
      <c r="AA92" s="484">
        <v>0.37433505844987286</v>
      </c>
    </row>
    <row r="93" spans="1:27" ht="14">
      <c r="A93" s="147" t="s">
        <v>710</v>
      </c>
      <c r="B93" s="268">
        <v>26</v>
      </c>
      <c r="C93" s="482">
        <v>3.3348823529411764E-2</v>
      </c>
      <c r="D93" s="482">
        <v>6.8918487160243666E-2</v>
      </c>
      <c r="E93" s="482">
        <v>9.2994574807696906E-2</v>
      </c>
      <c r="F93" s="482">
        <v>0.2456120559375066</v>
      </c>
      <c r="G93" s="483">
        <v>0.86885073802321711</v>
      </c>
      <c r="H93" s="483">
        <v>1.0113489285521289</v>
      </c>
      <c r="I93" s="482">
        <v>8.4606162213424957E-2</v>
      </c>
      <c r="J93" s="482">
        <v>0.35290917410983413</v>
      </c>
      <c r="K93" s="482">
        <v>5.0672000000000002E-2</v>
      </c>
      <c r="L93" s="482">
        <v>0.20147980773007479</v>
      </c>
      <c r="M93" s="482">
        <v>7.5216767530858333E-2</v>
      </c>
      <c r="N93" s="483">
        <v>1.4657207412194833</v>
      </c>
      <c r="O93" s="483">
        <v>1.7429114121474771</v>
      </c>
      <c r="P93" s="483">
        <v>10.412600818449748</v>
      </c>
      <c r="Q93" s="483">
        <v>23.81223099936394</v>
      </c>
      <c r="R93" s="483">
        <v>2.857861050952057</v>
      </c>
      <c r="S93" s="483">
        <v>37.422678665572782</v>
      </c>
      <c r="T93" s="482">
        <v>7.9939630291621308E-2</v>
      </c>
      <c r="U93" s="482">
        <v>0.12911005245808069</v>
      </c>
      <c r="V93" s="482">
        <v>5.0342453603063046E-2</v>
      </c>
      <c r="W93" s="482">
        <v>0.98712536305754151</v>
      </c>
      <c r="X93" s="482">
        <v>7.6027212050234716E-2</v>
      </c>
      <c r="Y93" s="482">
        <v>0.28369762464448572</v>
      </c>
      <c r="Z93" s="482">
        <v>0.28369762464448578</v>
      </c>
      <c r="AA93" s="484">
        <v>7.3047482952814879E-2</v>
      </c>
    </row>
    <row r="94" spans="1:27" ht="14">
      <c r="A94" s="147" t="s">
        <v>711</v>
      </c>
      <c r="B94" s="268">
        <v>14</v>
      </c>
      <c r="C94" s="482">
        <v>5.3321428571428561E-2</v>
      </c>
      <c r="D94" s="482">
        <v>0.23492112601720511</v>
      </c>
      <c r="E94" s="482">
        <v>5.9946515851166969E-2</v>
      </c>
      <c r="F94" s="482">
        <v>0.14465964484679661</v>
      </c>
      <c r="G94" s="483">
        <v>0.14911053505258812</v>
      </c>
      <c r="H94" s="483">
        <v>0.23943492788992651</v>
      </c>
      <c r="I94" s="482">
        <v>5.0178797783890727E-2</v>
      </c>
      <c r="J94" s="482">
        <v>0.14962031044448046</v>
      </c>
      <c r="K94" s="482">
        <v>4.7306000000000001E-2</v>
      </c>
      <c r="L94" s="482">
        <v>0.44898811821814344</v>
      </c>
      <c r="M94" s="482">
        <v>4.3578987732773501E-2</v>
      </c>
      <c r="N94" s="483">
        <v>0.29613329830902974</v>
      </c>
      <c r="O94" s="483">
        <v>5.2516060840183618</v>
      </c>
      <c r="P94" s="483">
        <v>13.727015038769659</v>
      </c>
      <c r="Q94" s="483">
        <v>22.630883778618987</v>
      </c>
      <c r="R94" s="483">
        <v>1.8101871360291144</v>
      </c>
      <c r="S94" s="483">
        <v>19.920098071696465</v>
      </c>
      <c r="T94" s="482">
        <v>0.20049022730299695</v>
      </c>
      <c r="U94" s="482">
        <v>0.47225698962713442</v>
      </c>
      <c r="V94" s="482">
        <v>0.33575854940367816</v>
      </c>
      <c r="W94" s="482">
        <v>1.7230109546789445</v>
      </c>
      <c r="X94" s="482">
        <v>0.10415514586399638</v>
      </c>
      <c r="Y94" s="482">
        <v>0.65402724700253789</v>
      </c>
      <c r="Z94" s="482">
        <v>0.65402724700253789</v>
      </c>
      <c r="AA94" s="484">
        <v>0.23205483866166682</v>
      </c>
    </row>
    <row r="95" spans="1:27" ht="14">
      <c r="A95" s="147" t="s">
        <v>712</v>
      </c>
      <c r="B95" s="268">
        <v>14</v>
      </c>
      <c r="C95" s="482">
        <v>0.1329741666666667</v>
      </c>
      <c r="D95" s="482">
        <v>0.3371569629910201</v>
      </c>
      <c r="E95" s="482">
        <v>7.2506609551747092E-2</v>
      </c>
      <c r="F95" s="482">
        <v>0.15939529259241006</v>
      </c>
      <c r="G95" s="483">
        <v>0.28247289345133525</v>
      </c>
      <c r="H95" s="483">
        <v>0.4126827948416138</v>
      </c>
      <c r="I95" s="482">
        <v>5.7905652649935975E-2</v>
      </c>
      <c r="J95" s="482">
        <v>0.29598509122604388</v>
      </c>
      <c r="K95" s="482">
        <v>4.7306000000000001E-2</v>
      </c>
      <c r="L95" s="482">
        <v>0.38408264480373644</v>
      </c>
      <c r="M95" s="482">
        <v>4.9292156627376238E-2</v>
      </c>
      <c r="N95" s="483">
        <v>0.24282143950125415</v>
      </c>
      <c r="O95" s="483">
        <v>7.156354779193479</v>
      </c>
      <c r="P95" s="483">
        <v>14.138003748298299</v>
      </c>
      <c r="Q95" s="483">
        <v>21.084502922439725</v>
      </c>
      <c r="R95" s="483">
        <v>1.9952183180116347</v>
      </c>
      <c r="S95" s="483">
        <v>23.065743309076115</v>
      </c>
      <c r="T95" s="482">
        <v>0.12542693126586235</v>
      </c>
      <c r="U95" s="482">
        <v>0.55839553736485592</v>
      </c>
      <c r="V95" s="482">
        <v>0.43724649234785529</v>
      </c>
      <c r="W95" s="482">
        <v>1.6217760551676135</v>
      </c>
      <c r="X95" s="482">
        <v>0.17212372991864594</v>
      </c>
      <c r="Y95" s="482">
        <v>0.5643624413230548</v>
      </c>
      <c r="Z95" s="482">
        <v>0.34833423984414624</v>
      </c>
      <c r="AA95" s="484">
        <v>0.33631527867304256</v>
      </c>
    </row>
    <row r="96" spans="1:27" ht="14">
      <c r="A96" s="147" t="s">
        <v>994</v>
      </c>
      <c r="B96" s="268">
        <v>5994</v>
      </c>
      <c r="C96" s="482">
        <v>0.1276619611360236</v>
      </c>
      <c r="D96" s="482">
        <v>0.12817522849680138</v>
      </c>
      <c r="E96" s="482">
        <v>8.9559104141930329E-2</v>
      </c>
      <c r="F96" s="482">
        <v>0.19379807932998466</v>
      </c>
      <c r="G96" s="483">
        <v>0.75571686566929863</v>
      </c>
      <c r="H96" s="483">
        <v>0.91211093665534659</v>
      </c>
      <c r="I96" s="482">
        <v>8.0180147774828459E-2</v>
      </c>
      <c r="J96" s="482">
        <v>0.48066562851919736</v>
      </c>
      <c r="K96" s="482">
        <v>5.2913000000000002E-2</v>
      </c>
      <c r="L96" s="482">
        <v>0.26019770295975647</v>
      </c>
      <c r="M96" s="482">
        <v>6.9643338293376461E-2</v>
      </c>
      <c r="N96" s="483">
        <v>0.82178503320495477</v>
      </c>
      <c r="O96" s="483">
        <v>3.9663360260675939</v>
      </c>
      <c r="P96" s="483">
        <v>19.731927657530765</v>
      </c>
      <c r="Q96" s="483">
        <v>29.124353529113705</v>
      </c>
      <c r="R96" s="483">
        <v>4.6051579811248349</v>
      </c>
      <c r="S96" s="483">
        <v>57.863854721168181</v>
      </c>
      <c r="T96" s="482">
        <v>-0.21855771497751103</v>
      </c>
      <c r="U96" s="482">
        <v>6.5746019522813434E-2</v>
      </c>
      <c r="V96" s="482">
        <v>4.2312134914979808E-2</v>
      </c>
      <c r="W96" s="482">
        <v>0.50822674763435771</v>
      </c>
      <c r="X96" s="482">
        <v>0.17212372991864594</v>
      </c>
      <c r="Y96" s="482">
        <v>0.3483342398441463</v>
      </c>
      <c r="Z96" s="482">
        <v>0.34833423984414624</v>
      </c>
      <c r="AA96" s="484">
        <v>0.12934935155646737</v>
      </c>
    </row>
    <row r="97" spans="1:27" ht="14">
      <c r="A97" s="147" t="s">
        <v>995</v>
      </c>
      <c r="B97" s="268">
        <v>4822</v>
      </c>
      <c r="C97" s="482">
        <v>0.13745559399824456</v>
      </c>
      <c r="D97" s="482">
        <v>0.13135588884455865</v>
      </c>
      <c r="E97" s="482">
        <v>0.150709519195417</v>
      </c>
      <c r="F97" s="482">
        <v>0.19415953892753623</v>
      </c>
      <c r="G97" s="483">
        <v>0.90096752794924251</v>
      </c>
      <c r="H97" s="483">
        <v>0.99129597195640873</v>
      </c>
      <c r="I97" s="482">
        <v>8.3711800349255822E-2</v>
      </c>
      <c r="J97" s="482">
        <v>0.52764819472250257</v>
      </c>
      <c r="K97" s="482">
        <v>5.2913000000000002E-2</v>
      </c>
      <c r="L97" s="482">
        <v>0.1473976156754532</v>
      </c>
      <c r="M97" s="482">
        <v>7.7222318102552381E-2</v>
      </c>
      <c r="N97" s="483">
        <v>1.433775561214941</v>
      </c>
      <c r="O97" s="483">
        <v>3.4603092775122111</v>
      </c>
      <c r="P97" s="483">
        <v>16.954952138077893</v>
      </c>
      <c r="Q97" s="483">
        <v>25.696738697994942</v>
      </c>
      <c r="R97" s="483">
        <v>5.4390457713679021</v>
      </c>
      <c r="S97" s="483">
        <v>61.558599091216195</v>
      </c>
      <c r="T97" s="482">
        <v>9.3011952231370904E-2</v>
      </c>
      <c r="U97" s="482">
        <v>7.1769801580809769E-2</v>
      </c>
      <c r="V97" s="482">
        <v>4.2914511093872516E-2</v>
      </c>
      <c r="W97" s="482">
        <v>0.48808809966171485</v>
      </c>
      <c r="X97" s="482">
        <v>0.17602001210752405</v>
      </c>
      <c r="Y97" s="482">
        <v>0.36652875424674558</v>
      </c>
      <c r="Z97" s="482">
        <v>0.36652875424674558</v>
      </c>
      <c r="AA97" s="484">
        <v>0.13262075555894373</v>
      </c>
    </row>
  </sheetData>
  <phoneticPr fontId="4"/>
  <pageMargins left="0.75" right="0.75" top="1" bottom="1" header="0.5" footer="0.5"/>
  <pageSetup orientation="portrait" horizontalDpi="4294967292" verticalDpi="429496729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A97"/>
  <sheetViews>
    <sheetView topLeftCell="A46" workbookViewId="0">
      <selection sqref="A1:AA1048576"/>
    </sheetView>
  </sheetViews>
  <sheetFormatPr baseColWidth="10" defaultRowHeight="13"/>
  <cols>
    <col min="1" max="1" width="23.1640625" customWidth="1"/>
    <col min="2" max="23" width="10.6640625" style="92" customWidth="1"/>
    <col min="24" max="27" width="10.83203125" style="92"/>
  </cols>
  <sheetData>
    <row r="1" spans="1:27" s="169" customFormat="1" ht="84">
      <c r="A1" s="467" t="s">
        <v>86</v>
      </c>
      <c r="B1" s="468" t="s">
        <v>158</v>
      </c>
      <c r="C1" s="469" t="s">
        <v>146</v>
      </c>
      <c r="D1" s="469" t="s">
        <v>586</v>
      </c>
      <c r="E1" s="469" t="s">
        <v>163</v>
      </c>
      <c r="F1" s="468" t="s">
        <v>147</v>
      </c>
      <c r="G1" s="468" t="s">
        <v>193</v>
      </c>
      <c r="H1" s="468" t="s">
        <v>148</v>
      </c>
      <c r="I1" s="468" t="s">
        <v>149</v>
      </c>
      <c r="J1" s="468" t="s">
        <v>150</v>
      </c>
      <c r="K1" s="468" t="s">
        <v>151</v>
      </c>
      <c r="L1" s="468" t="s">
        <v>152</v>
      </c>
      <c r="M1" s="468" t="s">
        <v>135</v>
      </c>
      <c r="N1" s="470" t="s">
        <v>89</v>
      </c>
      <c r="O1" s="468" t="s">
        <v>153</v>
      </c>
      <c r="P1" s="468" t="s">
        <v>154</v>
      </c>
      <c r="Q1" s="468" t="s">
        <v>155</v>
      </c>
      <c r="R1" s="468" t="s">
        <v>156</v>
      </c>
      <c r="S1" s="468" t="s">
        <v>157</v>
      </c>
      <c r="T1" s="468" t="s">
        <v>467</v>
      </c>
      <c r="U1" s="468" t="s">
        <v>468</v>
      </c>
      <c r="V1" s="468" t="s">
        <v>469</v>
      </c>
      <c r="W1" s="468" t="s">
        <v>470</v>
      </c>
      <c r="X1" s="468" t="s">
        <v>454</v>
      </c>
      <c r="Y1" s="468" t="s">
        <v>471</v>
      </c>
      <c r="Z1" s="468" t="s">
        <v>472</v>
      </c>
      <c r="AA1" s="468" t="s">
        <v>594</v>
      </c>
    </row>
    <row r="2" spans="1:27" s="138" customFormat="1">
      <c r="A2" s="147" t="s">
        <v>87</v>
      </c>
      <c r="B2" s="268">
        <v>419</v>
      </c>
      <c r="C2" s="482">
        <v>7.6745944881889724E-2</v>
      </c>
      <c r="D2" s="482">
        <v>8.5452191351459691E-2</v>
      </c>
      <c r="E2" s="482">
        <v>0.17933657671183281</v>
      </c>
      <c r="F2" s="482">
        <v>0.28222868463993173</v>
      </c>
      <c r="G2" s="483">
        <v>1.0861161361977183</v>
      </c>
      <c r="H2" s="483">
        <v>1.2728318033391579</v>
      </c>
      <c r="I2" s="482">
        <v>0.1111604305279946</v>
      </c>
      <c r="J2" s="482">
        <v>0.47819715714303784</v>
      </c>
      <c r="K2" s="482">
        <v>6.0012999999999997E-2</v>
      </c>
      <c r="L2" s="482">
        <v>0.28853431721179496</v>
      </c>
      <c r="M2" s="482">
        <v>9.2009620591832417E-2</v>
      </c>
      <c r="N2" s="483">
        <v>2.59090949067257</v>
      </c>
      <c r="O2" s="483">
        <v>1.5220187046906082</v>
      </c>
      <c r="P2" s="483">
        <v>11.079833641430142</v>
      </c>
      <c r="Q2" s="483">
        <v>16.45856942463147</v>
      </c>
      <c r="R2" s="483">
        <v>2.4786290807945823</v>
      </c>
      <c r="S2" s="483">
        <v>41.3764398297482</v>
      </c>
      <c r="T2" s="482">
        <v>-7.3906325977555563E-3</v>
      </c>
      <c r="U2" s="482">
        <v>1.7323719750450769E-2</v>
      </c>
      <c r="V2" s="482">
        <v>5.7756919160610069E-3</v>
      </c>
      <c r="W2" s="482">
        <v>0.10941576590928989</v>
      </c>
      <c r="X2" s="482">
        <v>3.119124058113678E-2</v>
      </c>
      <c r="Y2" s="482">
        <v>1.9498371022863068</v>
      </c>
      <c r="Z2" s="482">
        <v>1.9498371022863068</v>
      </c>
      <c r="AA2" s="484">
        <v>8.6510347733042656E-2</v>
      </c>
    </row>
    <row r="3" spans="1:27" s="138" customFormat="1">
      <c r="A3" s="147" t="s">
        <v>637</v>
      </c>
      <c r="B3" s="268">
        <v>319</v>
      </c>
      <c r="C3" s="482">
        <v>0.10030113861386131</v>
      </c>
      <c r="D3" s="482">
        <v>9.1785083430522385E-2</v>
      </c>
      <c r="E3" s="482">
        <v>0.15462665289829919</v>
      </c>
      <c r="F3" s="482">
        <v>0.1751405846269328</v>
      </c>
      <c r="G3" s="483">
        <v>1.1666842994270814</v>
      </c>
      <c r="H3" s="483">
        <v>1.2309446363304495</v>
      </c>
      <c r="I3" s="482">
        <v>0.10880218302540431</v>
      </c>
      <c r="J3" s="482">
        <v>0.46535363162956778</v>
      </c>
      <c r="K3" s="482">
        <v>6.0012999999999997E-2</v>
      </c>
      <c r="L3" s="482">
        <v>0.11504765726345079</v>
      </c>
      <c r="M3" s="482">
        <v>0.10143746694099116</v>
      </c>
      <c r="N3" s="483">
        <v>2.4649199087213018</v>
      </c>
      <c r="O3" s="483">
        <v>3.3852461244136229</v>
      </c>
      <c r="P3" s="483">
        <v>22.398823127832127</v>
      </c>
      <c r="Q3" s="483">
        <v>33.084863167071894</v>
      </c>
      <c r="R3" s="483">
        <v>6.7223105530477003</v>
      </c>
      <c r="S3" s="483">
        <v>189.88009247824058</v>
      </c>
      <c r="T3" s="482">
        <v>0.39306133193805654</v>
      </c>
      <c r="U3" s="482">
        <v>3.8049227717846509E-2</v>
      </c>
      <c r="V3" s="482">
        <v>1.5151659723984323E-2</v>
      </c>
      <c r="W3" s="482">
        <v>0.70152598790295395</v>
      </c>
      <c r="X3" s="482">
        <v>0.184497379944047</v>
      </c>
      <c r="Y3" s="482">
        <v>0.37819311937208361</v>
      </c>
      <c r="Z3" s="482">
        <v>0.37819311937208355</v>
      </c>
      <c r="AA3" s="484">
        <v>9.389575724340557E-2</v>
      </c>
    </row>
    <row r="4" spans="1:27" s="138" customFormat="1">
      <c r="A4" s="147" t="s">
        <v>638</v>
      </c>
      <c r="B4" s="268">
        <v>150</v>
      </c>
      <c r="C4" s="482">
        <v>0.20654283464566922</v>
      </c>
      <c r="D4" s="482">
        <v>8.2094462694594139E-2</v>
      </c>
      <c r="E4" s="482">
        <v>9.0134672958008283E-2</v>
      </c>
      <c r="F4" s="482">
        <v>0.21456414973210686</v>
      </c>
      <c r="G4" s="483">
        <v>0.68406215520183722</v>
      </c>
      <c r="H4" s="483">
        <v>0.99062514092123299</v>
      </c>
      <c r="I4" s="482">
        <v>9.527219543386542E-2</v>
      </c>
      <c r="J4" s="482">
        <v>0.3363451647411857</v>
      </c>
      <c r="K4" s="482">
        <v>5.7771999999999997E-2</v>
      </c>
      <c r="L4" s="482">
        <v>0.44098281206655771</v>
      </c>
      <c r="M4" s="482">
        <v>7.2271876145347441E-2</v>
      </c>
      <c r="N4" s="483">
        <v>1.314039929397383</v>
      </c>
      <c r="O4" s="483">
        <v>1.3978076793413099</v>
      </c>
      <c r="P4" s="483">
        <v>9.0706372776643462</v>
      </c>
      <c r="Q4" s="483">
        <v>16.921627400528791</v>
      </c>
      <c r="R4" s="483">
        <v>2.482139376008782</v>
      </c>
      <c r="S4" s="483">
        <v>26.881788469690083</v>
      </c>
      <c r="T4" s="482">
        <v>-3.5294939558408699E-2</v>
      </c>
      <c r="U4" s="482">
        <v>9.9342114560492828E-2</v>
      </c>
      <c r="V4" s="482">
        <v>3.3353335133280301E-2</v>
      </c>
      <c r="W4" s="482">
        <v>0.47696584943571974</v>
      </c>
      <c r="X4" s="482">
        <v>0.17282238492059113</v>
      </c>
      <c r="Y4" s="482">
        <v>0.38739412180835797</v>
      </c>
      <c r="Z4" s="482">
        <v>0.38739412180835797</v>
      </c>
      <c r="AA4" s="484">
        <v>8.0857455606472672E-2</v>
      </c>
    </row>
    <row r="5" spans="1:27" s="138" customFormat="1">
      <c r="A5" s="147" t="s">
        <v>639</v>
      </c>
      <c r="B5" s="268">
        <v>1207</v>
      </c>
      <c r="C5" s="482">
        <v>9.6144455958549174E-2</v>
      </c>
      <c r="D5" s="482">
        <v>0.12594925179150976</v>
      </c>
      <c r="E5" s="482">
        <v>0.16066581496248522</v>
      </c>
      <c r="F5" s="482">
        <v>0.27636869989778229</v>
      </c>
      <c r="G5" s="483">
        <v>0.70526665913368036</v>
      </c>
      <c r="H5" s="483">
        <v>0.76241741500988791</v>
      </c>
      <c r="I5" s="482">
        <v>8.2424100465056688E-2</v>
      </c>
      <c r="J5" s="482">
        <v>0.40912735142670881</v>
      </c>
      <c r="K5" s="482">
        <v>5.7771999999999997E-2</v>
      </c>
      <c r="L5" s="482">
        <v>0.15757308057538627</v>
      </c>
      <c r="M5" s="482">
        <v>7.6230082794932777E-2</v>
      </c>
      <c r="N5" s="483">
        <v>1.5206365780257243</v>
      </c>
      <c r="O5" s="483">
        <v>2.3109205198120835</v>
      </c>
      <c r="P5" s="483">
        <v>14.048028010549844</v>
      </c>
      <c r="Q5" s="483">
        <v>17.703043308257335</v>
      </c>
      <c r="R5" s="483">
        <v>3.2869236841684875</v>
      </c>
      <c r="S5" s="483">
        <v>59.310109293684498</v>
      </c>
      <c r="T5" s="482">
        <v>0.22335672657941566</v>
      </c>
      <c r="U5" s="482">
        <v>4.3508277384980983E-2</v>
      </c>
      <c r="V5" s="482">
        <v>2.0751623259125933E-2</v>
      </c>
      <c r="W5" s="482">
        <v>0.3984749537560307</v>
      </c>
      <c r="X5" s="482">
        <v>0.13544441769377696</v>
      </c>
      <c r="Y5" s="482">
        <v>0.49506428414427039</v>
      </c>
      <c r="Z5" s="482">
        <v>0.49506428414427039</v>
      </c>
      <c r="AA5" s="484">
        <v>0.12717972778900016</v>
      </c>
    </row>
    <row r="6" spans="1:27" s="138" customFormat="1">
      <c r="A6" s="147" t="s">
        <v>640</v>
      </c>
      <c r="B6" s="268">
        <v>165</v>
      </c>
      <c r="C6" s="482">
        <v>0.14186650485436894</v>
      </c>
      <c r="D6" s="482">
        <v>4.3126597172572431E-2</v>
      </c>
      <c r="E6" s="482">
        <v>4.3290711847986524E-2</v>
      </c>
      <c r="F6" s="482">
        <v>0.23906735565860365</v>
      </c>
      <c r="G6" s="483">
        <v>1.1453823854743228</v>
      </c>
      <c r="H6" s="483">
        <v>1.4059578359827345</v>
      </c>
      <c r="I6" s="482">
        <v>0.11865542616582794</v>
      </c>
      <c r="J6" s="482">
        <v>0.46544045137444157</v>
      </c>
      <c r="K6" s="482">
        <v>6.0012999999999997E-2</v>
      </c>
      <c r="L6" s="482">
        <v>0.32345903720352803</v>
      </c>
      <c r="M6" s="482">
        <v>9.4762243194387558E-2</v>
      </c>
      <c r="N6" s="483">
        <v>1.1904804043190431</v>
      </c>
      <c r="O6" s="483">
        <v>1.5038988593371825</v>
      </c>
      <c r="P6" s="483">
        <v>17.287729349085854</v>
      </c>
      <c r="Q6" s="483">
        <v>33.703035358925071</v>
      </c>
      <c r="R6" s="483">
        <v>2.1101815687878673</v>
      </c>
      <c r="S6" s="483">
        <v>64.095233913457264</v>
      </c>
      <c r="T6" s="482">
        <v>-2.5209136007541658E-2</v>
      </c>
      <c r="U6" s="482">
        <v>6.2876600240283284E-2</v>
      </c>
      <c r="V6" s="482">
        <v>3.5242374244521507E-2</v>
      </c>
      <c r="W6" s="482">
        <v>0.77772272001406584</v>
      </c>
      <c r="X6" s="482">
        <v>6.2291740132821787E-2</v>
      </c>
      <c r="Y6" s="482">
        <v>0.50430750492583409</v>
      </c>
      <c r="Z6" s="482">
        <v>0.50430750492583409</v>
      </c>
      <c r="AA6" s="484">
        <v>4.6898863272590956E-2</v>
      </c>
    </row>
    <row r="7" spans="1:27" s="138" customFormat="1">
      <c r="A7" s="147" t="s">
        <v>641</v>
      </c>
      <c r="B7" s="268">
        <v>797</v>
      </c>
      <c r="C7" s="482">
        <v>0.11602433962264154</v>
      </c>
      <c r="D7" s="482">
        <v>5.4480012734338001E-2</v>
      </c>
      <c r="E7" s="482">
        <v>0.12916441167961604</v>
      </c>
      <c r="F7" s="482">
        <v>0.24466345776630422</v>
      </c>
      <c r="G7" s="483">
        <v>1.3534718796622696</v>
      </c>
      <c r="H7" s="483">
        <v>1.4498212873289456</v>
      </c>
      <c r="I7" s="482">
        <v>0.12112493847661965</v>
      </c>
      <c r="J7" s="482">
        <v>0.38549790879636248</v>
      </c>
      <c r="K7" s="482">
        <v>5.7771999999999997E-2</v>
      </c>
      <c r="L7" s="482">
        <v>0.21752689046350654</v>
      </c>
      <c r="M7" s="482">
        <v>0.10415573212410165</v>
      </c>
      <c r="N7" s="483">
        <v>1.9786935845149967</v>
      </c>
      <c r="O7" s="483">
        <v>0.96013577915792636</v>
      </c>
      <c r="P7" s="483">
        <v>9.2345812850457989</v>
      </c>
      <c r="Q7" s="483">
        <v>16.773404607297795</v>
      </c>
      <c r="R7" s="483">
        <v>1.7096649372513586</v>
      </c>
      <c r="S7" s="483">
        <v>84.425729348652851</v>
      </c>
      <c r="T7" s="482">
        <v>0.113707633526337</v>
      </c>
      <c r="U7" s="482">
        <v>4.9106590951706226E-2</v>
      </c>
      <c r="V7" s="482">
        <v>3.102023720172524E-2</v>
      </c>
      <c r="W7" s="482">
        <v>0.88436552337168151</v>
      </c>
      <c r="X7" s="482">
        <v>6.5575404745826932E-2</v>
      </c>
      <c r="Y7" s="482">
        <v>0.48556788935495654</v>
      </c>
      <c r="Z7" s="482">
        <v>0.48556788935495654</v>
      </c>
      <c r="AA7" s="484">
        <v>5.8541350259664858E-2</v>
      </c>
    </row>
    <row r="8" spans="1:27" s="138" customFormat="1">
      <c r="A8" s="147" t="s">
        <v>986</v>
      </c>
      <c r="B8" s="268">
        <v>604</v>
      </c>
      <c r="C8" s="482">
        <v>0.19201112299465237</v>
      </c>
      <c r="D8" s="482">
        <v>3.7641733415214773E-3</v>
      </c>
      <c r="E8" s="482" t="s">
        <v>88</v>
      </c>
      <c r="F8" s="482">
        <v>0.19611446080079767</v>
      </c>
      <c r="G8" s="483">
        <v>0.36276505097143535</v>
      </c>
      <c r="H8" s="483">
        <v>0.69749392265202714</v>
      </c>
      <c r="I8" s="482">
        <v>7.8768907845309127E-2</v>
      </c>
      <c r="J8" s="482">
        <v>0.24567453946599635</v>
      </c>
      <c r="K8" s="482">
        <v>5.4405999999999996E-2</v>
      </c>
      <c r="L8" s="482">
        <v>0.67919986635866725</v>
      </c>
      <c r="M8" s="482">
        <v>5.2846762683051524E-2</v>
      </c>
      <c r="N8" s="483">
        <v>0.13566890828122721</v>
      </c>
      <c r="O8" s="483">
        <v>8.9153445266367815</v>
      </c>
      <c r="P8" s="483" t="s">
        <v>88</v>
      </c>
      <c r="Q8" s="483" t="s">
        <v>88</v>
      </c>
      <c r="R8" s="483">
        <v>1.1371162062189775</v>
      </c>
      <c r="S8" s="483">
        <v>23.380454067288746</v>
      </c>
      <c r="T8" s="482" t="s">
        <v>88</v>
      </c>
      <c r="U8" s="482">
        <v>3.7721054859587766E-2</v>
      </c>
      <c r="V8" s="482">
        <v>4.1410341094444331E-2</v>
      </c>
      <c r="W8" s="482">
        <v>5.2846762683051524E-2</v>
      </c>
      <c r="X8" s="482">
        <v>0.11544843066608233</v>
      </c>
      <c r="Y8" s="482">
        <v>0.38673892094678697</v>
      </c>
      <c r="Z8" s="482">
        <v>0.38673892094678697</v>
      </c>
      <c r="AA8" s="484">
        <v>3.9644353731413222E-3</v>
      </c>
    </row>
    <row r="9" spans="1:27" s="138" customFormat="1">
      <c r="A9" s="147" t="s">
        <v>987</v>
      </c>
      <c r="B9" s="268">
        <v>825</v>
      </c>
      <c r="C9" s="482">
        <v>8.3853527696793009E-2</v>
      </c>
      <c r="D9" s="482">
        <v>-1.8435659271743404E-5</v>
      </c>
      <c r="E9" s="482" t="s">
        <v>88</v>
      </c>
      <c r="F9" s="482">
        <v>0.18880322437311553</v>
      </c>
      <c r="G9" s="483">
        <v>0.30036338266393103</v>
      </c>
      <c r="H9" s="483">
        <v>0.51348722168229732</v>
      </c>
      <c r="I9" s="482">
        <v>6.8409330580713343E-2</v>
      </c>
      <c r="J9" s="482">
        <v>0.23331976681675709</v>
      </c>
      <c r="K9" s="482">
        <v>5.4405999999999996E-2</v>
      </c>
      <c r="L9" s="482">
        <v>0.66917596678792124</v>
      </c>
      <c r="M9" s="482">
        <v>4.9802134794546184E-2</v>
      </c>
      <c r="N9" s="483">
        <v>0.15601529983233672</v>
      </c>
      <c r="O9" s="483">
        <v>6.8532132977013074</v>
      </c>
      <c r="P9" s="483" t="s">
        <v>88</v>
      </c>
      <c r="Q9" s="483" t="s">
        <v>88</v>
      </c>
      <c r="R9" s="483">
        <v>0.85212492531026185</v>
      </c>
      <c r="S9" s="483">
        <v>27.962828546419068</v>
      </c>
      <c r="T9" s="482" t="s">
        <v>88</v>
      </c>
      <c r="U9" s="482">
        <v>2.8693975664725931E-2</v>
      </c>
      <c r="V9" s="482">
        <v>1.1121520211992888E-2</v>
      </c>
      <c r="W9" s="482" t="s">
        <v>88</v>
      </c>
      <c r="X9" s="482">
        <v>8.7436367729361558E-2</v>
      </c>
      <c r="Y9" s="482">
        <v>0.32409425199086339</v>
      </c>
      <c r="Z9" s="482">
        <v>0.32409425199086339</v>
      </c>
      <c r="AA9" s="484">
        <v>-4.9850576209801414E-4</v>
      </c>
    </row>
    <row r="10" spans="1:27" s="138" customFormat="1">
      <c r="A10" s="147" t="s">
        <v>642</v>
      </c>
      <c r="B10" s="268">
        <v>217</v>
      </c>
      <c r="C10" s="482">
        <v>8.6233672316384166E-2</v>
      </c>
      <c r="D10" s="482">
        <v>0.2246869431320431</v>
      </c>
      <c r="E10" s="482">
        <v>0.15417973283933217</v>
      </c>
      <c r="F10" s="482">
        <v>0.26136765190027311</v>
      </c>
      <c r="G10" s="483">
        <v>0.72504434398941309</v>
      </c>
      <c r="H10" s="483">
        <v>0.79267084862121351</v>
      </c>
      <c r="I10" s="482">
        <v>8.4127368777374326E-2</v>
      </c>
      <c r="J10" s="482">
        <v>0.34009241820979058</v>
      </c>
      <c r="K10" s="482">
        <v>5.7771999999999997E-2</v>
      </c>
      <c r="L10" s="482">
        <v>0.16869940954829629</v>
      </c>
      <c r="M10" s="482">
        <v>7.7208647475630457E-2</v>
      </c>
      <c r="N10" s="483">
        <v>0.84291435664133929</v>
      </c>
      <c r="O10" s="483">
        <v>3.3175622496528163</v>
      </c>
      <c r="P10" s="483">
        <v>12.215870175465181</v>
      </c>
      <c r="Q10" s="483">
        <v>14.665541081923488</v>
      </c>
      <c r="R10" s="483">
        <v>2.7921965412406609</v>
      </c>
      <c r="S10" s="483">
        <v>46.917794253968772</v>
      </c>
      <c r="T10" s="482">
        <v>0.1089390607252331</v>
      </c>
      <c r="U10" s="482">
        <v>4.9423524689657834E-2</v>
      </c>
      <c r="V10" s="482">
        <v>2.1503714839048713E-2</v>
      </c>
      <c r="W10" s="482">
        <v>0.1350866678403306</v>
      </c>
      <c r="X10" s="482">
        <v>0.1368554582862769</v>
      </c>
      <c r="Y10" s="482">
        <v>0.64822626612746059</v>
      </c>
      <c r="Z10" s="482">
        <v>0.64822626612746059</v>
      </c>
      <c r="AA10" s="484">
        <v>0.22400470001475123</v>
      </c>
    </row>
    <row r="11" spans="1:27" s="138" customFormat="1">
      <c r="A11" s="147" t="s">
        <v>643</v>
      </c>
      <c r="B11" s="268">
        <v>94</v>
      </c>
      <c r="C11" s="482">
        <v>0.11468484848484849</v>
      </c>
      <c r="D11" s="482">
        <v>0.1762373004333796</v>
      </c>
      <c r="E11" s="482">
        <v>0.25367508689543017</v>
      </c>
      <c r="F11" s="482">
        <v>0.2150647923164333</v>
      </c>
      <c r="G11" s="483">
        <v>0.54202265744677047</v>
      </c>
      <c r="H11" s="483">
        <v>0.59284846615832043</v>
      </c>
      <c r="I11" s="482">
        <v>7.2877368644713447E-2</v>
      </c>
      <c r="J11" s="482">
        <v>0.36929594728248888</v>
      </c>
      <c r="K11" s="482">
        <v>5.7771999999999997E-2</v>
      </c>
      <c r="L11" s="482">
        <v>0.15768331326896767</v>
      </c>
      <c r="M11" s="482">
        <v>6.8184378157737702E-2</v>
      </c>
      <c r="N11" s="483">
        <v>1.6840588708723863</v>
      </c>
      <c r="O11" s="483">
        <v>3.4794284639412982</v>
      </c>
      <c r="P11" s="483">
        <v>15.969846233550323</v>
      </c>
      <c r="Q11" s="483">
        <v>19.568469857833357</v>
      </c>
      <c r="R11" s="483">
        <v>5.7647976814765114</v>
      </c>
      <c r="S11" s="483">
        <v>25.617474166553141</v>
      </c>
      <c r="T11" s="482">
        <v>-4.2591796051872827E-2</v>
      </c>
      <c r="U11" s="482">
        <v>5.0848329523422581E-2</v>
      </c>
      <c r="V11" s="482">
        <v>4.0172242072627186E-2</v>
      </c>
      <c r="W11" s="482">
        <v>0.32840707073274528</v>
      </c>
      <c r="X11" s="482">
        <v>0.25987068856736706</v>
      </c>
      <c r="Y11" s="482">
        <v>0.69256828090744871</v>
      </c>
      <c r="Z11" s="482">
        <v>0.69256828090744871</v>
      </c>
      <c r="AA11" s="484">
        <v>0.17694002931984618</v>
      </c>
    </row>
    <row r="12" spans="1:27" s="138" customFormat="1">
      <c r="A12" s="147" t="s">
        <v>644</v>
      </c>
      <c r="B12" s="268">
        <v>127</v>
      </c>
      <c r="C12" s="482">
        <v>4.3784351851851852E-2</v>
      </c>
      <c r="D12" s="482">
        <v>9.9745610173364002E-2</v>
      </c>
      <c r="E12" s="482">
        <v>9.505074643010343E-2</v>
      </c>
      <c r="F12" s="482">
        <v>0.27392188631114495</v>
      </c>
      <c r="G12" s="483">
        <v>0.65577076267562506</v>
      </c>
      <c r="H12" s="483">
        <v>0.832172827138835</v>
      </c>
      <c r="I12" s="482">
        <v>8.6351330167916407E-2</v>
      </c>
      <c r="J12" s="482">
        <v>0.4048451394444616</v>
      </c>
      <c r="K12" s="482">
        <v>5.7771999999999997E-2</v>
      </c>
      <c r="L12" s="482">
        <v>0.36213202220579149</v>
      </c>
      <c r="M12" s="482">
        <v>7.0694158706812171E-2</v>
      </c>
      <c r="N12" s="483">
        <v>1.1246825719283284</v>
      </c>
      <c r="O12" s="483">
        <v>1.2839663479903904</v>
      </c>
      <c r="P12" s="483">
        <v>8.4709855335301789</v>
      </c>
      <c r="Q12" s="483">
        <v>12.461419383062184</v>
      </c>
      <c r="R12" s="483">
        <v>1.1466146604960485</v>
      </c>
      <c r="S12" s="483">
        <v>24.090046717727098</v>
      </c>
      <c r="T12" s="482">
        <v>0.11491060026911433</v>
      </c>
      <c r="U12" s="482">
        <v>3.0683734011420424E-2</v>
      </c>
      <c r="V12" s="482">
        <v>-1.5735498593915161E-2</v>
      </c>
      <c r="W12" s="482">
        <v>1.1906894674643222</v>
      </c>
      <c r="X12" s="482">
        <v>4.4737820083344926E-2</v>
      </c>
      <c r="Y12" s="482">
        <v>0.69642169210098859</v>
      </c>
      <c r="Z12" s="482">
        <v>0.69642169210098859</v>
      </c>
      <c r="AA12" s="484">
        <v>9.9906612705457962E-2</v>
      </c>
    </row>
    <row r="13" spans="1:27" s="138" customFormat="1">
      <c r="A13" s="147" t="s">
        <v>988</v>
      </c>
      <c r="B13" s="268">
        <v>623</v>
      </c>
      <c r="C13" s="482">
        <v>0.20560422037422033</v>
      </c>
      <c r="D13" s="482">
        <v>9.3698089128877206E-3</v>
      </c>
      <c r="E13" s="482" t="s">
        <v>88</v>
      </c>
      <c r="F13" s="482">
        <v>0.20657152440033427</v>
      </c>
      <c r="G13" s="483">
        <v>0.48957376161433352</v>
      </c>
      <c r="H13" s="483">
        <v>0.98461362581209033</v>
      </c>
      <c r="I13" s="482">
        <v>9.4933747133220697E-2</v>
      </c>
      <c r="J13" s="482">
        <v>0.40964256511809022</v>
      </c>
      <c r="K13" s="482">
        <v>5.7771999999999997E-2</v>
      </c>
      <c r="L13" s="482">
        <v>0.64175212018157568</v>
      </c>
      <c r="M13" s="482">
        <v>6.1679112626139843E-2</v>
      </c>
      <c r="N13" s="483">
        <v>0.22058932417414476</v>
      </c>
      <c r="O13" s="483">
        <v>6.4250860452806009</v>
      </c>
      <c r="P13" s="483" t="s">
        <v>88</v>
      </c>
      <c r="Q13" s="483" t="s">
        <v>88</v>
      </c>
      <c r="R13" s="483">
        <v>1.8268436888658091</v>
      </c>
      <c r="S13" s="483">
        <v>53.984219532962271</v>
      </c>
      <c r="T13" s="482">
        <v>-1.3519202636287806</v>
      </c>
      <c r="U13" s="482">
        <v>2.0559316390364523E-2</v>
      </c>
      <c r="V13" s="482">
        <v>-2.3277604801716673E-2</v>
      </c>
      <c r="W13" s="482">
        <v>-18.27826446284563</v>
      </c>
      <c r="X13" s="482">
        <v>0.12620581523347621</v>
      </c>
      <c r="Y13" s="482">
        <v>0.39374619969531349</v>
      </c>
      <c r="Z13" s="482">
        <v>0.39374619969531355</v>
      </c>
      <c r="AA13" s="484">
        <v>9.1983036465408639E-3</v>
      </c>
    </row>
    <row r="14" spans="1:27" s="138" customFormat="1">
      <c r="A14" s="147" t="s">
        <v>645</v>
      </c>
      <c r="B14" s="268">
        <v>469</v>
      </c>
      <c r="C14" s="482">
        <v>6.1503543956043946E-2</v>
      </c>
      <c r="D14" s="482">
        <v>0.104013279470123</v>
      </c>
      <c r="E14" s="482">
        <v>0.14189101363837847</v>
      </c>
      <c r="F14" s="482">
        <v>0.24573048899786995</v>
      </c>
      <c r="G14" s="483">
        <v>0.90272059337664057</v>
      </c>
      <c r="H14" s="483">
        <v>1.0048303067527764</v>
      </c>
      <c r="I14" s="482">
        <v>9.6071946270181313E-2</v>
      </c>
      <c r="J14" s="482">
        <v>0.34630654257967586</v>
      </c>
      <c r="K14" s="482">
        <v>5.7771999999999997E-2</v>
      </c>
      <c r="L14" s="482">
        <v>0.18553155775246097</v>
      </c>
      <c r="M14" s="482">
        <v>8.6246806730348666E-2</v>
      </c>
      <c r="N14" s="483">
        <v>1.7360449495854091</v>
      </c>
      <c r="O14" s="483">
        <v>1.8851036615872645</v>
      </c>
      <c r="P14" s="483">
        <v>12.410490288236952</v>
      </c>
      <c r="Q14" s="483">
        <v>17.772730860599516</v>
      </c>
      <c r="R14" s="483">
        <v>2.7929304504873778</v>
      </c>
      <c r="S14" s="483">
        <v>50.22868282017253</v>
      </c>
      <c r="T14" s="482">
        <v>0.17644316268689361</v>
      </c>
      <c r="U14" s="482">
        <v>4.220721589610317E-2</v>
      </c>
      <c r="V14" s="482">
        <v>3.8512895861398014E-2</v>
      </c>
      <c r="W14" s="482">
        <v>0.5678532356760978</v>
      </c>
      <c r="X14" s="482">
        <v>0.11996231294425355</v>
      </c>
      <c r="Y14" s="482">
        <v>0.39406337727635449</v>
      </c>
      <c r="Z14" s="482">
        <v>0.39406337727635443</v>
      </c>
      <c r="AA14" s="484">
        <v>0.10596456646931336</v>
      </c>
    </row>
    <row r="15" spans="1:27" s="138" customFormat="1">
      <c r="A15" s="147" t="s">
        <v>646</v>
      </c>
      <c r="B15" s="268">
        <v>994</v>
      </c>
      <c r="C15" s="482">
        <v>8.3179852941176483E-2</v>
      </c>
      <c r="D15" s="482">
        <v>0.10145314111735844</v>
      </c>
      <c r="E15" s="482">
        <v>0.22092321087225542</v>
      </c>
      <c r="F15" s="482">
        <v>0.24059857501988496</v>
      </c>
      <c r="G15" s="483">
        <v>0.90833038123473164</v>
      </c>
      <c r="H15" s="483">
        <v>0.99214597590868558</v>
      </c>
      <c r="I15" s="482">
        <v>9.5357818443659009E-2</v>
      </c>
      <c r="J15" s="482">
        <v>0.39436765478505004</v>
      </c>
      <c r="K15" s="482">
        <v>5.7771999999999997E-2</v>
      </c>
      <c r="L15" s="482">
        <v>0.17086021598931553</v>
      </c>
      <c r="M15" s="482">
        <v>8.6431640822033445E-2</v>
      </c>
      <c r="N15" s="483">
        <v>2.7981200268647992</v>
      </c>
      <c r="O15" s="483">
        <v>2.0384941527355438</v>
      </c>
      <c r="P15" s="483">
        <v>14.086673380144674</v>
      </c>
      <c r="Q15" s="483">
        <v>19.477306735186708</v>
      </c>
      <c r="R15" s="483">
        <v>4.3125071138812254</v>
      </c>
      <c r="S15" s="483">
        <v>33.303170464296414</v>
      </c>
      <c r="T15" s="482">
        <v>0.10866958227812519</v>
      </c>
      <c r="U15" s="482">
        <v>2.4349921453681707E-2</v>
      </c>
      <c r="V15" s="482">
        <v>1.84769805890268E-2</v>
      </c>
      <c r="W15" s="482">
        <v>0.33068335327533144</v>
      </c>
      <c r="X15" s="482">
        <v>0.15267480146003434</v>
      </c>
      <c r="Y15" s="482">
        <v>0.50109926759031576</v>
      </c>
      <c r="Z15" s="482">
        <v>0.50109926759031576</v>
      </c>
      <c r="AA15" s="484">
        <v>0.10179070939214054</v>
      </c>
    </row>
    <row r="16" spans="1:27" s="138" customFormat="1">
      <c r="A16" s="147" t="s">
        <v>647</v>
      </c>
      <c r="B16" s="268">
        <v>42</v>
      </c>
      <c r="C16" s="482">
        <v>4.3443243243243244E-2</v>
      </c>
      <c r="D16" s="482">
        <v>0.17336966416759611</v>
      </c>
      <c r="E16" s="482">
        <v>0.11149964694609382</v>
      </c>
      <c r="F16" s="482">
        <v>0.19024680013059994</v>
      </c>
      <c r="G16" s="483">
        <v>0.59082963275876232</v>
      </c>
      <c r="H16" s="483">
        <v>1.0969952643670762</v>
      </c>
      <c r="I16" s="482">
        <v>0.10126083338386639</v>
      </c>
      <c r="J16" s="482">
        <v>0.3902685527392315</v>
      </c>
      <c r="K16" s="482">
        <v>5.7771999999999997E-2</v>
      </c>
      <c r="L16" s="482">
        <v>0.5539018621904962</v>
      </c>
      <c r="M16" s="482">
        <v>6.9053882924418108E-2</v>
      </c>
      <c r="N16" s="483">
        <v>0.72895458581585193</v>
      </c>
      <c r="O16" s="483">
        <v>2.1610559120716051</v>
      </c>
      <c r="P16" s="483">
        <v>6.5773422588228581</v>
      </c>
      <c r="Q16" s="483">
        <v>12.47474740791351</v>
      </c>
      <c r="R16" s="483">
        <v>1.3822538943343763</v>
      </c>
      <c r="S16" s="483">
        <v>69.657037241818415</v>
      </c>
      <c r="T16" s="482">
        <v>2.5634574405734755E-2</v>
      </c>
      <c r="U16" s="482">
        <v>0.12531088030312262</v>
      </c>
      <c r="V16" s="482">
        <v>-8.4622369522452806E-3</v>
      </c>
      <c r="W16" s="482">
        <v>-6.1036979632262012E-2</v>
      </c>
      <c r="X16" s="482">
        <v>8.117679258610265E-2</v>
      </c>
      <c r="Y16" s="482">
        <v>0.42750809018172198</v>
      </c>
      <c r="Z16" s="482">
        <v>0.42750809018172198</v>
      </c>
      <c r="AA16" s="484">
        <v>0.17080424159236754</v>
      </c>
    </row>
    <row r="17" spans="1:27" s="138" customFormat="1">
      <c r="A17" s="147" t="s">
        <v>606</v>
      </c>
      <c r="B17" s="268">
        <v>909</v>
      </c>
      <c r="C17" s="482">
        <v>0.10223551440329219</v>
      </c>
      <c r="D17" s="482">
        <v>3.6835266173455776E-2</v>
      </c>
      <c r="E17" s="482">
        <v>3.1507248495430164E-2</v>
      </c>
      <c r="F17" s="482">
        <v>0.19521370183395481</v>
      </c>
      <c r="G17" s="483">
        <v>1.0021472613339761</v>
      </c>
      <c r="H17" s="483">
        <v>1.256025755860968</v>
      </c>
      <c r="I17" s="482">
        <v>0.11021425005497251</v>
      </c>
      <c r="J17" s="482">
        <v>0.37696585768312763</v>
      </c>
      <c r="K17" s="482">
        <v>5.7771999999999997E-2</v>
      </c>
      <c r="L17" s="482">
        <v>0.33545863037094914</v>
      </c>
      <c r="M17" s="482">
        <v>8.7705309250335955E-2</v>
      </c>
      <c r="N17" s="483">
        <v>1.0265960016282052</v>
      </c>
      <c r="O17" s="483">
        <v>1.4303560409443392</v>
      </c>
      <c r="P17" s="483">
        <v>13.707313205373254</v>
      </c>
      <c r="Q17" s="483">
        <v>36.464575774739266</v>
      </c>
      <c r="R17" s="483">
        <v>1.4473316716829616</v>
      </c>
      <c r="S17" s="483">
        <v>114.41924372302657</v>
      </c>
      <c r="T17" s="482">
        <v>0.11984859336073533</v>
      </c>
      <c r="U17" s="482">
        <v>8.0071671653248425E-2</v>
      </c>
      <c r="V17" s="482">
        <v>4.2695070962806357E-2</v>
      </c>
      <c r="W17" s="482">
        <v>1.3872652322853112</v>
      </c>
      <c r="X17" s="482">
        <v>-5.5737826309596675E-3</v>
      </c>
      <c r="Y17" s="482">
        <v>2.5793856195023196E-2</v>
      </c>
      <c r="Z17" s="482">
        <v>2.5793856195023168E-2</v>
      </c>
      <c r="AA17" s="484">
        <v>3.7706628794687863E-2</v>
      </c>
    </row>
    <row r="18" spans="1:27" s="138" customFormat="1">
      <c r="A18" s="147" t="s">
        <v>648</v>
      </c>
      <c r="B18" s="268">
        <v>63</v>
      </c>
      <c r="C18" s="482">
        <v>8.6664137931034488E-2</v>
      </c>
      <c r="D18" s="482">
        <v>6.829306808360508E-2</v>
      </c>
      <c r="E18" s="482">
        <v>6.3870085330108073E-2</v>
      </c>
      <c r="F18" s="482">
        <v>0.26198785604834662</v>
      </c>
      <c r="G18" s="483">
        <v>0.91005712717491893</v>
      </c>
      <c r="H18" s="483">
        <v>1.1692025395347072</v>
      </c>
      <c r="I18" s="482">
        <v>0.10532610297580403</v>
      </c>
      <c r="J18" s="482">
        <v>0.29763351824406548</v>
      </c>
      <c r="K18" s="482">
        <v>5.4405999999999996E-2</v>
      </c>
      <c r="L18" s="482">
        <v>0.34434462920477271</v>
      </c>
      <c r="M18" s="482">
        <v>8.3039118191986117E-2</v>
      </c>
      <c r="N18" s="483">
        <v>1.2117164085981338</v>
      </c>
      <c r="O18" s="483">
        <v>1.0953319594007704</v>
      </c>
      <c r="P18" s="483">
        <v>8.6548627064560115</v>
      </c>
      <c r="Q18" s="483">
        <v>16.003235204459298</v>
      </c>
      <c r="R18" s="483">
        <v>1.2490654203551113</v>
      </c>
      <c r="S18" s="483">
        <v>25.31045837315828</v>
      </c>
      <c r="T18" s="482">
        <v>0.20949169065202849</v>
      </c>
      <c r="U18" s="482">
        <v>7.1448633791567864E-2</v>
      </c>
      <c r="V18" s="482">
        <v>3.7655673878900578E-2</v>
      </c>
      <c r="W18" s="482">
        <v>0.78799214970329468</v>
      </c>
      <c r="X18" s="482">
        <v>4.6123813739745632E-2</v>
      </c>
      <c r="Y18" s="482">
        <v>0.94795797159873052</v>
      </c>
      <c r="Z18" s="482">
        <v>0.94795797159873052</v>
      </c>
      <c r="AA18" s="484">
        <v>7.1862354167614648E-2</v>
      </c>
    </row>
    <row r="19" spans="1:27" s="138" customFormat="1">
      <c r="A19" s="147" t="s">
        <v>607</v>
      </c>
      <c r="B19" s="268">
        <v>952</v>
      </c>
      <c r="C19" s="482">
        <v>0.10482979108635097</v>
      </c>
      <c r="D19" s="482">
        <v>0.10965894445535111</v>
      </c>
      <c r="E19" s="482">
        <v>9.5119638038571777E-2</v>
      </c>
      <c r="F19" s="482">
        <v>0.23685844987625684</v>
      </c>
      <c r="G19" s="483">
        <v>1.0428068761505285</v>
      </c>
      <c r="H19" s="483">
        <v>1.153626570549779</v>
      </c>
      <c r="I19" s="482">
        <v>0.10444917592195258</v>
      </c>
      <c r="J19" s="482">
        <v>0.39445614662122175</v>
      </c>
      <c r="K19" s="482">
        <v>5.7771999999999997E-2</v>
      </c>
      <c r="L19" s="482">
        <v>0.19038263221836546</v>
      </c>
      <c r="M19" s="482">
        <v>9.277226044219615E-2</v>
      </c>
      <c r="N19" s="483">
        <v>1.0868010364646339</v>
      </c>
      <c r="O19" s="483">
        <v>2.3691472212707279</v>
      </c>
      <c r="P19" s="483">
        <v>13.104221203667324</v>
      </c>
      <c r="Q19" s="483">
        <v>21.132217065343454</v>
      </c>
      <c r="R19" s="483">
        <v>2.305932026419518</v>
      </c>
      <c r="S19" s="483">
        <v>71.552481856162032</v>
      </c>
      <c r="T19" s="482">
        <v>0.18885179047150497</v>
      </c>
      <c r="U19" s="482">
        <v>8.3569480308475691E-2</v>
      </c>
      <c r="V19" s="482">
        <v>4.0597436008650643E-2</v>
      </c>
      <c r="W19" s="482">
        <v>0.57140532363570129</v>
      </c>
      <c r="X19" s="482">
        <v>7.7549892827861872E-2</v>
      </c>
      <c r="Y19" s="482">
        <v>0.63229331331537919</v>
      </c>
      <c r="Z19" s="482">
        <v>0.63229331331537919</v>
      </c>
      <c r="AA19" s="484">
        <v>0.11140825067188335</v>
      </c>
    </row>
    <row r="20" spans="1:27" s="138" customFormat="1">
      <c r="A20" s="147" t="s">
        <v>649</v>
      </c>
      <c r="B20" s="268">
        <v>212</v>
      </c>
      <c r="C20" s="482">
        <v>0.14176457943925233</v>
      </c>
      <c r="D20" s="482">
        <v>0.16038092899106698</v>
      </c>
      <c r="E20" s="482">
        <v>0.1415339475997465</v>
      </c>
      <c r="F20" s="482">
        <v>0.22533691407253434</v>
      </c>
      <c r="G20" s="483">
        <v>1.1330048763544707</v>
      </c>
      <c r="H20" s="483">
        <v>1.1429397457977559</v>
      </c>
      <c r="I20" s="482">
        <v>0.10384750768841366</v>
      </c>
      <c r="J20" s="482">
        <v>0.58632036436751855</v>
      </c>
      <c r="K20" s="482">
        <v>6.0012999999999997E-2</v>
      </c>
      <c r="L20" s="482">
        <v>0.16599340061503132</v>
      </c>
      <c r="M20" s="482">
        <v>9.404396968593158E-2</v>
      </c>
      <c r="N20" s="483">
        <v>1.0181418771242539</v>
      </c>
      <c r="O20" s="483">
        <v>2.1384940877969125</v>
      </c>
      <c r="P20" s="483">
        <v>7.963502495488167</v>
      </c>
      <c r="Q20" s="483">
        <v>12.44827555769511</v>
      </c>
      <c r="R20" s="483">
        <v>1.7027591187987883</v>
      </c>
      <c r="S20" s="483">
        <v>55.838223315608737</v>
      </c>
      <c r="T20" s="482">
        <v>-3.1823863554558379E-2</v>
      </c>
      <c r="U20" s="482">
        <v>0.15317929937784888</v>
      </c>
      <c r="V20" s="482">
        <v>7.980645606284488E-2</v>
      </c>
      <c r="W20" s="482">
        <v>0.81019141765070346</v>
      </c>
      <c r="X20" s="482">
        <v>0.10643057845038383</v>
      </c>
      <c r="Y20" s="482">
        <v>0.14573564708154718</v>
      </c>
      <c r="Z20" s="482">
        <v>0.14573564708154718</v>
      </c>
      <c r="AA20" s="484">
        <v>0.16005608506517513</v>
      </c>
    </row>
    <row r="21" spans="1:27" s="138" customFormat="1">
      <c r="A21" s="147" t="s">
        <v>479</v>
      </c>
      <c r="B21" s="268">
        <v>1225</v>
      </c>
      <c r="C21" s="482">
        <v>0.13624416067146283</v>
      </c>
      <c r="D21" s="482">
        <v>7.5597155647089714E-2</v>
      </c>
      <c r="E21" s="482">
        <v>0.20955305758952805</v>
      </c>
      <c r="F21" s="482">
        <v>0.24110451250191503</v>
      </c>
      <c r="G21" s="483">
        <v>1.0715769620770927</v>
      </c>
      <c r="H21" s="483">
        <v>1.1166904823073391</v>
      </c>
      <c r="I21" s="482">
        <v>0.10236967415390319</v>
      </c>
      <c r="J21" s="482">
        <v>0.42514250256480629</v>
      </c>
      <c r="K21" s="482">
        <v>5.7771999999999997E-2</v>
      </c>
      <c r="L21" s="482">
        <v>0.13053619245682577</v>
      </c>
      <c r="M21" s="482">
        <v>9.4634826403199271E-2</v>
      </c>
      <c r="N21" s="483">
        <v>3.7546965693675087</v>
      </c>
      <c r="O21" s="483">
        <v>1.4626915316517466</v>
      </c>
      <c r="P21" s="483">
        <v>14.621894105031677</v>
      </c>
      <c r="Q21" s="483">
        <v>18.50678978918463</v>
      </c>
      <c r="R21" s="483">
        <v>3.9884478129658452</v>
      </c>
      <c r="S21" s="483">
        <v>57.152491663235601</v>
      </c>
      <c r="T21" s="482">
        <v>0.2986624035760102</v>
      </c>
      <c r="U21" s="482">
        <v>1.1275004093497576E-2</v>
      </c>
      <c r="V21" s="482">
        <v>1.2956213192816842E-2</v>
      </c>
      <c r="W21" s="482">
        <v>0.32046959461309232</v>
      </c>
      <c r="X21" s="482">
        <v>0.17122491849082352</v>
      </c>
      <c r="Y21" s="482">
        <v>0.5308893627711585</v>
      </c>
      <c r="Z21" s="482">
        <v>0.5308893627711585</v>
      </c>
      <c r="AA21" s="484">
        <v>7.6996905544234578E-2</v>
      </c>
    </row>
    <row r="22" spans="1:27" s="138" customFormat="1">
      <c r="A22" s="147" t="s">
        <v>650</v>
      </c>
      <c r="B22" s="268">
        <v>343</v>
      </c>
      <c r="C22" s="482">
        <v>3.2691412639405212E-2</v>
      </c>
      <c r="D22" s="482">
        <v>0.12611612608959333</v>
      </c>
      <c r="E22" s="482">
        <v>0.19910185025773558</v>
      </c>
      <c r="F22" s="482">
        <v>0.15211533935364474</v>
      </c>
      <c r="G22" s="483">
        <v>1.4681982558053279</v>
      </c>
      <c r="H22" s="483">
        <v>1.4861046989510829</v>
      </c>
      <c r="I22" s="482">
        <v>0.12316769455094598</v>
      </c>
      <c r="J22" s="482">
        <v>0.4355863705546168</v>
      </c>
      <c r="K22" s="482">
        <v>5.7771999999999997E-2</v>
      </c>
      <c r="L22" s="482">
        <v>5.8294053846211398E-2</v>
      </c>
      <c r="M22" s="482">
        <v>0.11850111266469034</v>
      </c>
      <c r="N22" s="483">
        <v>2.4835356974578553</v>
      </c>
      <c r="O22" s="483">
        <v>3.4019645017230671</v>
      </c>
      <c r="P22" s="483">
        <v>20.176313962525622</v>
      </c>
      <c r="Q22" s="483">
        <v>26.728441918882766</v>
      </c>
      <c r="R22" s="483">
        <v>8.1089832433611626</v>
      </c>
      <c r="S22" s="483">
        <v>72.095691051310553</v>
      </c>
      <c r="T22" s="482">
        <v>4.6850123568708699E-2</v>
      </c>
      <c r="U22" s="482">
        <v>4.6586910681893676E-2</v>
      </c>
      <c r="V22" s="482">
        <v>4.4700950570150048E-2</v>
      </c>
      <c r="W22" s="482">
        <v>0.56360632104726993</v>
      </c>
      <c r="X22" s="482">
        <v>0.27703945295802701</v>
      </c>
      <c r="Y22" s="482">
        <v>0.22782297827932363</v>
      </c>
      <c r="Z22" s="482">
        <v>0.22782297827932363</v>
      </c>
      <c r="AA22" s="484">
        <v>0.13089453661179248</v>
      </c>
    </row>
    <row r="23" spans="1:27" s="138" customFormat="1">
      <c r="A23" s="147" t="s">
        <v>651</v>
      </c>
      <c r="B23" s="268">
        <v>804</v>
      </c>
      <c r="C23" s="482">
        <v>0.10728846635367761</v>
      </c>
      <c r="D23" s="482">
        <v>9.7096730466073575E-2</v>
      </c>
      <c r="E23" s="482">
        <v>9.2923831377616325E-2</v>
      </c>
      <c r="F23" s="482">
        <v>0.21799753277815592</v>
      </c>
      <c r="G23" s="483">
        <v>0.91667626375656697</v>
      </c>
      <c r="H23" s="483">
        <v>1.0343955755170557</v>
      </c>
      <c r="I23" s="482">
        <v>9.7736470901610251E-2</v>
      </c>
      <c r="J23" s="482">
        <v>0.37316871621794689</v>
      </c>
      <c r="K23" s="482">
        <v>5.7771999999999997E-2</v>
      </c>
      <c r="L23" s="482">
        <v>0.23237458669184796</v>
      </c>
      <c r="M23" s="482">
        <v>8.5043885782797091E-2</v>
      </c>
      <c r="N23" s="483">
        <v>1.2257628695257026</v>
      </c>
      <c r="O23" s="483">
        <v>1.8011433977328009</v>
      </c>
      <c r="P23" s="483">
        <v>12.309508846975056</v>
      </c>
      <c r="Q23" s="483">
        <v>18.066292512107459</v>
      </c>
      <c r="R23" s="483">
        <v>2.0855520144374564</v>
      </c>
      <c r="S23" s="483">
        <v>113.95372423467501</v>
      </c>
      <c r="T23" s="482">
        <v>0.17410989427284967</v>
      </c>
      <c r="U23" s="482">
        <v>5.0396929985338422E-2</v>
      </c>
      <c r="V23" s="482">
        <v>3.2587182148419526E-2</v>
      </c>
      <c r="W23" s="482">
        <v>0.50303622456903818</v>
      </c>
      <c r="X23" s="482">
        <v>0.12313679684691181</v>
      </c>
      <c r="Y23" s="482">
        <v>0.38082411852700887</v>
      </c>
      <c r="Z23" s="482">
        <v>0.38082411852700893</v>
      </c>
      <c r="AA23" s="484">
        <v>9.8755587448031673E-2</v>
      </c>
    </row>
    <row r="24" spans="1:27" s="138" customFormat="1">
      <c r="A24" s="147" t="s">
        <v>652</v>
      </c>
      <c r="B24" s="268">
        <v>329</v>
      </c>
      <c r="C24" s="482">
        <v>0.15288022140221391</v>
      </c>
      <c r="D24" s="482">
        <v>0.15113019141805942</v>
      </c>
      <c r="E24" s="482">
        <v>8.984867749422655E-2</v>
      </c>
      <c r="F24" s="482">
        <v>0.18662194837504911</v>
      </c>
      <c r="G24" s="483">
        <v>0.65257439783955951</v>
      </c>
      <c r="H24" s="483">
        <v>0.79738817445507382</v>
      </c>
      <c r="I24" s="482">
        <v>8.4392954221820665E-2</v>
      </c>
      <c r="J24" s="482">
        <v>0.30019575383348179</v>
      </c>
      <c r="K24" s="482">
        <v>5.7771999999999997E-2</v>
      </c>
      <c r="L24" s="482">
        <v>0.32661305031170557</v>
      </c>
      <c r="M24" s="482">
        <v>7.0911115245743936E-2</v>
      </c>
      <c r="N24" s="483">
        <v>0.71301822687663097</v>
      </c>
      <c r="O24" s="483">
        <v>2.1426108602457274</v>
      </c>
      <c r="P24" s="483">
        <v>10.935986179692073</v>
      </c>
      <c r="Q24" s="483">
        <v>13.877965650418261</v>
      </c>
      <c r="R24" s="483">
        <v>1.2190831644689155</v>
      </c>
      <c r="S24" s="483">
        <v>30.903742497245727</v>
      </c>
      <c r="T24" s="482">
        <v>6.0473078707506484E-2</v>
      </c>
      <c r="U24" s="482">
        <v>5.0497474683384322E-2</v>
      </c>
      <c r="V24" s="482">
        <v>4.1189704586661761E-2</v>
      </c>
      <c r="W24" s="482">
        <v>0.39409375342681041</v>
      </c>
      <c r="X24" s="482">
        <v>8.9405980862303211E-2</v>
      </c>
      <c r="Y24" s="482">
        <v>0.22755379268254339</v>
      </c>
      <c r="Z24" s="482">
        <v>0.22755379268254339</v>
      </c>
      <c r="AA24" s="484">
        <v>0.15142427033539549</v>
      </c>
    </row>
    <row r="25" spans="1:27" s="138" customFormat="1">
      <c r="A25" s="147" t="s">
        <v>653</v>
      </c>
      <c r="B25" s="268">
        <v>1193</v>
      </c>
      <c r="C25" s="482">
        <v>0.27468802443991824</v>
      </c>
      <c r="D25" s="482">
        <v>7.4763138658869105E-2</v>
      </c>
      <c r="E25" s="482">
        <v>2.994251473785985E-2</v>
      </c>
      <c r="F25" s="482">
        <v>0.15147358740107958</v>
      </c>
      <c r="G25" s="483">
        <v>1.1808092261100824</v>
      </c>
      <c r="H25" s="483">
        <v>1.2307900987040603</v>
      </c>
      <c r="I25" s="482">
        <v>0.10879348255703861</v>
      </c>
      <c r="J25" s="482">
        <v>0.65511568571329748</v>
      </c>
      <c r="K25" s="482">
        <v>6.7294999999999994E-2</v>
      </c>
      <c r="L25" s="482">
        <v>0.10992343138184393</v>
      </c>
      <c r="M25" s="482">
        <v>0.10235513262845412</v>
      </c>
      <c r="N25" s="483">
        <v>0.71371066508935177</v>
      </c>
      <c r="O25" s="483">
        <v>7.941242537185091</v>
      </c>
      <c r="P25" s="483">
        <v>16.713925584235497</v>
      </c>
      <c r="Q25" s="483">
        <v>77.687253805753102</v>
      </c>
      <c r="R25" s="483">
        <v>6.1699100825985598</v>
      </c>
      <c r="S25" s="483">
        <v>161.43637085593937</v>
      </c>
      <c r="T25" s="482">
        <v>0.20611856523698782</v>
      </c>
      <c r="U25" s="482">
        <v>4.1258812479118057E-2</v>
      </c>
      <c r="V25" s="482">
        <v>-8.7757113718152958E-3</v>
      </c>
      <c r="W25" s="482">
        <v>0.28840133542277846</v>
      </c>
      <c r="X25" s="482">
        <v>-3.2409081015828838E-2</v>
      </c>
      <c r="Y25" s="482">
        <v>3.082840460578802E-3</v>
      </c>
      <c r="Z25" s="482">
        <v>3.0828404605788284E-3</v>
      </c>
      <c r="AA25" s="484">
        <v>7.7118143416144008E-2</v>
      </c>
    </row>
    <row r="26" spans="1:27" s="138" customFormat="1">
      <c r="A26" s="147" t="s">
        <v>654</v>
      </c>
      <c r="B26" s="268">
        <v>1260</v>
      </c>
      <c r="C26" s="482">
        <v>0.14050234523809507</v>
      </c>
      <c r="D26" s="482">
        <v>0.23070059816192529</v>
      </c>
      <c r="E26" s="482">
        <v>0.14737283207172139</v>
      </c>
      <c r="F26" s="482">
        <v>0.1785869778712996</v>
      </c>
      <c r="G26" s="483">
        <v>0.99875430354771388</v>
      </c>
      <c r="H26" s="483">
        <v>1.0625903045222254</v>
      </c>
      <c r="I26" s="482">
        <v>9.9323834144601289E-2</v>
      </c>
      <c r="J26" s="482">
        <v>0.47485789419029745</v>
      </c>
      <c r="K26" s="482">
        <v>6.0012999999999997E-2</v>
      </c>
      <c r="L26" s="482">
        <v>0.12997887274477796</v>
      </c>
      <c r="M26" s="482">
        <v>9.2235289151587879E-2</v>
      </c>
      <c r="N26" s="483">
        <v>1.0697898553970477</v>
      </c>
      <c r="O26" s="483">
        <v>4.3962160100544727</v>
      </c>
      <c r="P26" s="483">
        <v>13.84795033944487</v>
      </c>
      <c r="Q26" s="483">
        <v>18.252498342627682</v>
      </c>
      <c r="R26" s="483">
        <v>4.1683156058524773</v>
      </c>
      <c r="S26" s="483">
        <v>87.139590040225499</v>
      </c>
      <c r="T26" s="482">
        <v>0.18541974342664821</v>
      </c>
      <c r="U26" s="482">
        <v>5.5169605129307159E-2</v>
      </c>
      <c r="V26" s="482">
        <v>4.1002216924261613E-2</v>
      </c>
      <c r="W26" s="482">
        <v>0.27397381866171966</v>
      </c>
      <c r="X26" s="482">
        <v>0.16769655765384323</v>
      </c>
      <c r="Y26" s="482">
        <v>0.57621284809919671</v>
      </c>
      <c r="Z26" s="482">
        <v>0.57621284809919671</v>
      </c>
      <c r="AA26" s="484">
        <v>0.23277717028974096</v>
      </c>
    </row>
    <row r="27" spans="1:27" s="138" customFormat="1">
      <c r="A27" s="147" t="s">
        <v>655</v>
      </c>
      <c r="B27" s="268">
        <v>281</v>
      </c>
      <c r="C27" s="482">
        <v>0.1620242780748663</v>
      </c>
      <c r="D27" s="482">
        <v>0.1592522447774741</v>
      </c>
      <c r="E27" s="482">
        <v>0.14361683059114613</v>
      </c>
      <c r="F27" s="482">
        <v>0.21820833911577395</v>
      </c>
      <c r="G27" s="483">
        <v>0.74457722818824723</v>
      </c>
      <c r="H27" s="483">
        <v>0.81174092791012553</v>
      </c>
      <c r="I27" s="482">
        <v>8.5201014241340078E-2</v>
      </c>
      <c r="J27" s="482">
        <v>0.41912512357537973</v>
      </c>
      <c r="K27" s="482">
        <v>5.7771999999999997E-2</v>
      </c>
      <c r="L27" s="482">
        <v>0.2224420101713282</v>
      </c>
      <c r="M27" s="482">
        <v>7.5839370820270924E-2</v>
      </c>
      <c r="N27" s="483">
        <v>1.1585770299147213</v>
      </c>
      <c r="O27" s="483">
        <v>2.0598126754360035</v>
      </c>
      <c r="P27" s="483">
        <v>8.9622272138315093</v>
      </c>
      <c r="Q27" s="483">
        <v>12.638623410429103</v>
      </c>
      <c r="R27" s="483">
        <v>1.8752456663874006</v>
      </c>
      <c r="S27" s="483">
        <v>43.569818445789714</v>
      </c>
      <c r="T27" s="482">
        <v>5.9621656759686545E-2</v>
      </c>
      <c r="U27" s="482">
        <v>4.8031199112030964E-2</v>
      </c>
      <c r="V27" s="482">
        <v>1.7164413114209416E-2</v>
      </c>
      <c r="W27" s="482">
        <v>0.26820882542488605</v>
      </c>
      <c r="X27" s="482">
        <v>0.12312237847453927</v>
      </c>
      <c r="Y27" s="482">
        <v>0.29169894338042895</v>
      </c>
      <c r="Z27" s="482">
        <v>0.2916989433804289</v>
      </c>
      <c r="AA27" s="484">
        <v>0.15896901141723202</v>
      </c>
    </row>
    <row r="28" spans="1:27" s="138" customFormat="1">
      <c r="A28" s="147" t="s">
        <v>656</v>
      </c>
      <c r="B28" s="268">
        <v>1158</v>
      </c>
      <c r="C28" s="482">
        <v>0.12262514465408814</v>
      </c>
      <c r="D28" s="482">
        <v>8.3468863531667853E-2</v>
      </c>
      <c r="E28" s="482">
        <v>0.11449613160913091</v>
      </c>
      <c r="F28" s="482">
        <v>0.20828266557400182</v>
      </c>
      <c r="G28" s="483">
        <v>1.3406410283101367</v>
      </c>
      <c r="H28" s="483">
        <v>1.3734745939775304</v>
      </c>
      <c r="I28" s="482">
        <v>0.11682661964093496</v>
      </c>
      <c r="J28" s="482">
        <v>0.46759536533472518</v>
      </c>
      <c r="K28" s="482">
        <v>6.0012999999999997E-2</v>
      </c>
      <c r="L28" s="482">
        <v>0.12078656869399591</v>
      </c>
      <c r="M28" s="482">
        <v>0.10812528595457839</v>
      </c>
      <c r="N28" s="483">
        <v>1.7612558090904804</v>
      </c>
      <c r="O28" s="483">
        <v>2.7734521369698855</v>
      </c>
      <c r="P28" s="483">
        <v>20.855727415823178</v>
      </c>
      <c r="Q28" s="483">
        <v>31.704509802256045</v>
      </c>
      <c r="R28" s="483">
        <v>4.0439562017864388</v>
      </c>
      <c r="S28" s="483">
        <v>68.107929966667882</v>
      </c>
      <c r="T28" s="482">
        <v>0.22344053681122392</v>
      </c>
      <c r="U28" s="482">
        <v>6.4868867893916993E-2</v>
      </c>
      <c r="V28" s="482">
        <v>5.0299105152008756E-2</v>
      </c>
      <c r="W28" s="482">
        <v>0.93357455644194853</v>
      </c>
      <c r="X28" s="482">
        <v>9.6187334184243495E-2</v>
      </c>
      <c r="Y28" s="482">
        <v>0.54340659407642178</v>
      </c>
      <c r="Z28" s="482">
        <v>0.54340659407642178</v>
      </c>
      <c r="AA28" s="484">
        <v>8.6729418501004379E-2</v>
      </c>
    </row>
    <row r="29" spans="1:27" s="138" customFormat="1">
      <c r="A29" s="147" t="s">
        <v>657</v>
      </c>
      <c r="B29" s="268">
        <v>122</v>
      </c>
      <c r="C29" s="482">
        <v>4.8787200000000003E-2</v>
      </c>
      <c r="D29" s="482">
        <v>6.024299069552206E-2</v>
      </c>
      <c r="E29" s="482">
        <v>8.0679304960385986E-2</v>
      </c>
      <c r="F29" s="482">
        <v>0.20220399709982156</v>
      </c>
      <c r="G29" s="483">
        <v>1.1925872612470574</v>
      </c>
      <c r="H29" s="483">
        <v>1.1970577265762667</v>
      </c>
      <c r="I29" s="482">
        <v>0.10689435000624381</v>
      </c>
      <c r="J29" s="482">
        <v>0.43633523856329487</v>
      </c>
      <c r="K29" s="482">
        <v>5.7771999999999997E-2</v>
      </c>
      <c r="L29" s="482">
        <v>0.14040778496025744</v>
      </c>
      <c r="M29" s="482">
        <v>9.7939266948998557E-2</v>
      </c>
      <c r="N29" s="483">
        <v>1.9058982485219271</v>
      </c>
      <c r="O29" s="483">
        <v>1.0392607057341356</v>
      </c>
      <c r="P29" s="483">
        <v>10.741688959550116</v>
      </c>
      <c r="Q29" s="483">
        <v>16.901404128814693</v>
      </c>
      <c r="R29" s="483">
        <v>2.0397301775679146</v>
      </c>
      <c r="S29" s="483">
        <v>41.301785889436609</v>
      </c>
      <c r="T29" s="482">
        <v>5.1906856048876779E-2</v>
      </c>
      <c r="U29" s="482">
        <v>3.8745979626150055E-2</v>
      </c>
      <c r="V29" s="482">
        <v>2.6250634106916984E-2</v>
      </c>
      <c r="W29" s="482">
        <v>0.53655266751604846</v>
      </c>
      <c r="X29" s="482">
        <v>9.6034860378236345E-2</v>
      </c>
      <c r="Y29" s="482">
        <v>0.26030295911105944</v>
      </c>
      <c r="Z29" s="482">
        <v>0.2603029591110595</v>
      </c>
      <c r="AA29" s="484">
        <v>6.2403961466475165E-2</v>
      </c>
    </row>
    <row r="30" spans="1:27" s="138" customFormat="1">
      <c r="A30" s="147" t="s">
        <v>608</v>
      </c>
      <c r="B30" s="268">
        <v>1481</v>
      </c>
      <c r="C30" s="482">
        <v>6.7619835782195381E-2</v>
      </c>
      <c r="D30" s="482">
        <v>6.2851787270318718E-2</v>
      </c>
      <c r="E30" s="482">
        <v>8.2383395771374879E-2</v>
      </c>
      <c r="F30" s="482">
        <v>0.20693099783105373</v>
      </c>
      <c r="G30" s="483">
        <v>1.568504800835242</v>
      </c>
      <c r="H30" s="483">
        <v>1.5981880099626622</v>
      </c>
      <c r="I30" s="482">
        <v>0.12947798496089788</v>
      </c>
      <c r="J30" s="482">
        <v>0.44374662059269115</v>
      </c>
      <c r="K30" s="482">
        <v>5.7771999999999997E-2</v>
      </c>
      <c r="L30" s="482">
        <v>0.1241014389380188</v>
      </c>
      <c r="M30" s="482">
        <v>0.1187602444873785</v>
      </c>
      <c r="N30" s="483">
        <v>1.696701573690425</v>
      </c>
      <c r="O30" s="483">
        <v>2.2285380173191371</v>
      </c>
      <c r="P30" s="483">
        <v>18.73319590271263</v>
      </c>
      <c r="Q30" s="483">
        <v>33.642287848667124</v>
      </c>
      <c r="R30" s="483">
        <v>3.3219114646819925</v>
      </c>
      <c r="S30" s="483">
        <v>71.383561220512831</v>
      </c>
      <c r="T30" s="482">
        <v>0.18422333239155061</v>
      </c>
      <c r="U30" s="482">
        <v>5.5899080378214401E-2</v>
      </c>
      <c r="V30" s="482">
        <v>3.5783296439127261E-2</v>
      </c>
      <c r="W30" s="482">
        <v>1.0768188565104226</v>
      </c>
      <c r="X30" s="482">
        <v>8.8332562339955262E-2</v>
      </c>
      <c r="Y30" s="482">
        <v>0.47384137845379104</v>
      </c>
      <c r="Z30" s="482">
        <v>0.47384137845379104</v>
      </c>
      <c r="AA30" s="484">
        <v>6.619619065040791E-2</v>
      </c>
    </row>
    <row r="31" spans="1:27" s="138" customFormat="1">
      <c r="A31" s="147" t="s">
        <v>658</v>
      </c>
      <c r="B31" s="268">
        <v>1390</v>
      </c>
      <c r="C31" s="482">
        <v>0.1039016103379722</v>
      </c>
      <c r="D31" s="482">
        <v>5.1033137474084882E-2</v>
      </c>
      <c r="E31" s="482">
        <v>7.1913704255306049E-2</v>
      </c>
      <c r="F31" s="482">
        <v>0.23493899933213669</v>
      </c>
      <c r="G31" s="483">
        <v>0.75931739468570125</v>
      </c>
      <c r="H31" s="483">
        <v>1.0010491996782473</v>
      </c>
      <c r="I31" s="482">
        <v>9.5859069941885339E-2</v>
      </c>
      <c r="J31" s="482">
        <v>0.40133342661501314</v>
      </c>
      <c r="K31" s="482">
        <v>5.7771999999999997E-2</v>
      </c>
      <c r="L31" s="482">
        <v>0.43359423189667623</v>
      </c>
      <c r="M31" s="482">
        <v>7.298965107188389E-2</v>
      </c>
      <c r="N31" s="483">
        <v>1.8622198609708001</v>
      </c>
      <c r="O31" s="483">
        <v>0.83314171639045531</v>
      </c>
      <c r="P31" s="483">
        <v>11.256761786655979</v>
      </c>
      <c r="Q31" s="483">
        <v>15.732477012202912</v>
      </c>
      <c r="R31" s="483">
        <v>1.3387972699294963</v>
      </c>
      <c r="S31" s="483">
        <v>54.775238814085562</v>
      </c>
      <c r="T31" s="482">
        <v>0.16674207448018599</v>
      </c>
      <c r="U31" s="482">
        <v>3.0976336075296092E-2</v>
      </c>
      <c r="V31" s="482">
        <v>2.0303914728097533E-2</v>
      </c>
      <c r="W31" s="482">
        <v>1.3340581872026465</v>
      </c>
      <c r="X31" s="482">
        <v>0.1038389635201734</v>
      </c>
      <c r="Y31" s="482">
        <v>0.57129754061271154</v>
      </c>
      <c r="Z31" s="482">
        <v>0.57129754061271154</v>
      </c>
      <c r="AA31" s="484">
        <v>5.0754487951808931E-2</v>
      </c>
    </row>
    <row r="32" spans="1:27" s="138" customFormat="1">
      <c r="A32" s="147" t="s">
        <v>480</v>
      </c>
      <c r="B32" s="268">
        <v>733</v>
      </c>
      <c r="C32" s="482">
        <v>9.8964817073170716E-2</v>
      </c>
      <c r="D32" s="482">
        <v>0.11643670448755805</v>
      </c>
      <c r="E32" s="482">
        <v>0.11040823320939556</v>
      </c>
      <c r="F32" s="482">
        <v>0.16885804183095149</v>
      </c>
      <c r="G32" s="483">
        <v>0.98207732049913821</v>
      </c>
      <c r="H32" s="483">
        <v>1.0127306260651701</v>
      </c>
      <c r="I32" s="482">
        <v>9.651673424746908E-2</v>
      </c>
      <c r="J32" s="482">
        <v>0.47542342830251133</v>
      </c>
      <c r="K32" s="482">
        <v>6.0012999999999997E-2</v>
      </c>
      <c r="L32" s="482">
        <v>0.11294963563780057</v>
      </c>
      <c r="M32" s="482">
        <v>9.0673958891926448E-2</v>
      </c>
      <c r="N32" s="483">
        <v>1.2031860037027624</v>
      </c>
      <c r="O32" s="483">
        <v>4.0860080842464406</v>
      </c>
      <c r="P32" s="483">
        <v>18.651096019779597</v>
      </c>
      <c r="Q32" s="483">
        <v>32.796464009832683</v>
      </c>
      <c r="R32" s="483">
        <v>3.8797563928623853</v>
      </c>
      <c r="S32" s="483">
        <v>120.39476578673255</v>
      </c>
      <c r="T32" s="482">
        <v>2.6582819469597525E-2</v>
      </c>
      <c r="U32" s="482">
        <v>4.0180029311431581E-2</v>
      </c>
      <c r="V32" s="482">
        <v>-3.5189691578712203E-3</v>
      </c>
      <c r="W32" s="482">
        <v>-5.0990555067653431E-2</v>
      </c>
      <c r="X32" s="482">
        <v>5.6766290337189537E-2</v>
      </c>
      <c r="Y32" s="482">
        <v>0.49728111270412145</v>
      </c>
      <c r="Z32" s="482">
        <v>0.49728111270412145</v>
      </c>
      <c r="AA32" s="484">
        <v>0.11653235670360036</v>
      </c>
    </row>
    <row r="33" spans="1:27" s="138" customFormat="1">
      <c r="A33" s="147" t="s">
        <v>659</v>
      </c>
      <c r="B33" s="268">
        <v>397</v>
      </c>
      <c r="C33" s="482">
        <v>0.12319487394957986</v>
      </c>
      <c r="D33" s="482">
        <v>0.11273293098585103</v>
      </c>
      <c r="E33" s="482">
        <v>0.10410726284517295</v>
      </c>
      <c r="F33" s="482">
        <v>0.21885799126683703</v>
      </c>
      <c r="G33" s="483">
        <v>0.90799725633515016</v>
      </c>
      <c r="H33" s="483">
        <v>1.1018148967549475</v>
      </c>
      <c r="I33" s="482">
        <v>0.10153217868730355</v>
      </c>
      <c r="J33" s="482">
        <v>0.43977944750997633</v>
      </c>
      <c r="K33" s="482">
        <v>5.7771999999999997E-2</v>
      </c>
      <c r="L33" s="482">
        <v>0.26307410667273379</v>
      </c>
      <c r="M33" s="482">
        <v>8.6164195674652083E-2</v>
      </c>
      <c r="N33" s="483">
        <v>1.0387501857649888</v>
      </c>
      <c r="O33" s="483">
        <v>2.939585935446154</v>
      </c>
      <c r="P33" s="483">
        <v>14.735941956636887</v>
      </c>
      <c r="Q33" s="483">
        <v>24.955856451735265</v>
      </c>
      <c r="R33" s="483">
        <v>3.2306662621385187</v>
      </c>
      <c r="S33" s="483">
        <v>63.540470719470072</v>
      </c>
      <c r="T33" s="482">
        <v>0.15516031504523894</v>
      </c>
      <c r="U33" s="482">
        <v>8.1838145171979168E-2</v>
      </c>
      <c r="V33" s="482">
        <v>8.245893421818988E-2</v>
      </c>
      <c r="W33" s="482">
        <v>1.1644959002531665</v>
      </c>
      <c r="X33" s="482">
        <v>0.10153599870746592</v>
      </c>
      <c r="Y33" s="482">
        <v>0.48991902466524551</v>
      </c>
      <c r="Z33" s="482">
        <v>0.48991902466524551</v>
      </c>
      <c r="AA33" s="484">
        <v>0.11952599853848489</v>
      </c>
    </row>
    <row r="34" spans="1:27" s="138" customFormat="1">
      <c r="A34" s="147" t="s">
        <v>660</v>
      </c>
      <c r="B34" s="268">
        <v>428</v>
      </c>
      <c r="C34" s="482">
        <v>0.14780628125000012</v>
      </c>
      <c r="D34" s="482">
        <v>6.3909442548588866E-2</v>
      </c>
      <c r="E34" s="482">
        <v>6.7788850856498259E-2</v>
      </c>
      <c r="F34" s="482">
        <v>0.22874728505035946</v>
      </c>
      <c r="G34" s="483">
        <v>0.49267149564040968</v>
      </c>
      <c r="H34" s="483">
        <v>0.66989834457188224</v>
      </c>
      <c r="I34" s="482">
        <v>7.7215276799396965E-2</v>
      </c>
      <c r="J34" s="482">
        <v>0.36166808063019806</v>
      </c>
      <c r="K34" s="482">
        <v>5.7771999999999997E-2</v>
      </c>
      <c r="L34" s="482">
        <v>0.37123000165562564</v>
      </c>
      <c r="M34" s="482">
        <v>6.4556321418327942E-2</v>
      </c>
      <c r="N34" s="483">
        <v>1.2977621876620926</v>
      </c>
      <c r="O34" s="483">
        <v>1.22078861958216</v>
      </c>
      <c r="P34" s="483">
        <v>12.908282333994162</v>
      </c>
      <c r="Q34" s="483">
        <v>18.578626634648224</v>
      </c>
      <c r="R34" s="483">
        <v>1.696640134676846</v>
      </c>
      <c r="S34" s="483">
        <v>48.07524004908791</v>
      </c>
      <c r="T34" s="482">
        <v>0.18536822243263165</v>
      </c>
      <c r="U34" s="482">
        <v>4.0750088462311186E-2</v>
      </c>
      <c r="V34" s="482">
        <v>2.7366645599493433E-2</v>
      </c>
      <c r="W34" s="482">
        <v>0.40680700754670129</v>
      </c>
      <c r="X34" s="482">
        <v>9.833823007303287E-2</v>
      </c>
      <c r="Y34" s="482">
        <v>0.44472077902944801</v>
      </c>
      <c r="Z34" s="482">
        <v>0.44472077902944807</v>
      </c>
      <c r="AA34" s="484">
        <v>6.4952775494154055E-2</v>
      </c>
    </row>
    <row r="35" spans="1:27" s="138" customFormat="1">
      <c r="A35" s="147" t="s">
        <v>989</v>
      </c>
      <c r="B35" s="268">
        <v>1138</v>
      </c>
      <c r="C35" s="482">
        <v>0.17024585365853662</v>
      </c>
      <c r="D35" s="482">
        <v>0.14125585647108771</v>
      </c>
      <c r="E35" s="482" t="s">
        <v>88</v>
      </c>
      <c r="F35" s="482">
        <v>0.1740499833727564</v>
      </c>
      <c r="G35" s="483">
        <v>0.29511483099160984</v>
      </c>
      <c r="H35" s="483">
        <v>0.82348795126989627</v>
      </c>
      <c r="I35" s="482">
        <v>8.5862371656495157E-2</v>
      </c>
      <c r="J35" s="482">
        <v>0.41344469247491239</v>
      </c>
      <c r="K35" s="482">
        <v>5.7771999999999997E-2</v>
      </c>
      <c r="L35" s="482">
        <v>0.72588807150597578</v>
      </c>
      <c r="M35" s="482">
        <v>5.4832741309146893E-2</v>
      </c>
      <c r="N35" s="483">
        <v>9.3708297337438934E-2</v>
      </c>
      <c r="O35" s="483">
        <v>13.715456497959272</v>
      </c>
      <c r="P35" s="483">
        <v>43.421409280053673</v>
      </c>
      <c r="Q35" s="483">
        <v>52.914940956907799</v>
      </c>
      <c r="R35" s="483">
        <v>2.3783453023768293</v>
      </c>
      <c r="S35" s="483">
        <v>36.779695986177785</v>
      </c>
      <c r="T35" s="482" t="s">
        <v>88</v>
      </c>
      <c r="U35" s="482">
        <v>3.7714313941181937E-2</v>
      </c>
      <c r="V35" s="482">
        <v>1.6297813218439729E-2</v>
      </c>
      <c r="W35" s="482">
        <v>0.17590846351863976</v>
      </c>
      <c r="X35" s="482">
        <v>0.18825467527022147</v>
      </c>
      <c r="Y35" s="482">
        <v>0.25599296291776796</v>
      </c>
      <c r="Z35" s="482">
        <v>0.25599296291776796</v>
      </c>
      <c r="AA35" s="484">
        <v>0.14288622571376799</v>
      </c>
    </row>
    <row r="36" spans="1:27" s="138" customFormat="1">
      <c r="A36" s="147" t="s">
        <v>661</v>
      </c>
      <c r="B36" s="268">
        <v>1450</v>
      </c>
      <c r="C36" s="482">
        <v>9.6518456561922261E-2</v>
      </c>
      <c r="D36" s="482">
        <v>8.5358248393229127E-2</v>
      </c>
      <c r="E36" s="482">
        <v>0.11973510077420262</v>
      </c>
      <c r="F36" s="482">
        <v>0.22517313265473884</v>
      </c>
      <c r="G36" s="483">
        <v>0.56022534622642539</v>
      </c>
      <c r="H36" s="483">
        <v>0.67372445145960558</v>
      </c>
      <c r="I36" s="482">
        <v>7.7430686617175795E-2</v>
      </c>
      <c r="J36" s="482">
        <v>0.33904800918943917</v>
      </c>
      <c r="K36" s="482">
        <v>5.7771999999999997E-2</v>
      </c>
      <c r="L36" s="482">
        <v>0.27061920529332478</v>
      </c>
      <c r="M36" s="482">
        <v>6.8144268698579313E-2</v>
      </c>
      <c r="N36" s="483">
        <v>1.7085376710318929</v>
      </c>
      <c r="O36" s="483">
        <v>1.3434507919660956</v>
      </c>
      <c r="P36" s="483">
        <v>11.072075959562463</v>
      </c>
      <c r="Q36" s="483">
        <v>15.460106212089006</v>
      </c>
      <c r="R36" s="483">
        <v>2.1902572557781856</v>
      </c>
      <c r="S36" s="483">
        <v>39.76722771221749</v>
      </c>
      <c r="T36" s="482">
        <v>0.10570015898008055</v>
      </c>
      <c r="U36" s="482">
        <v>4.1010741151126628E-2</v>
      </c>
      <c r="V36" s="482">
        <v>2.0243842028248003E-2</v>
      </c>
      <c r="W36" s="482">
        <v>0.37750591819489787</v>
      </c>
      <c r="X36" s="482">
        <v>0.1054317206378861</v>
      </c>
      <c r="Y36" s="482">
        <v>0.73326113092375789</v>
      </c>
      <c r="Z36" s="482">
        <v>0.73326113092375789</v>
      </c>
      <c r="AA36" s="484">
        <v>8.5970318297611578E-2</v>
      </c>
    </row>
    <row r="37" spans="1:27" s="138" customFormat="1">
      <c r="A37" s="147" t="s">
        <v>662</v>
      </c>
      <c r="B37" s="268">
        <v>183</v>
      </c>
      <c r="C37" s="482">
        <v>0.17566223076923074</v>
      </c>
      <c r="D37" s="482">
        <v>2.541970227621734E-2</v>
      </c>
      <c r="E37" s="482">
        <v>0.10674987618913893</v>
      </c>
      <c r="F37" s="482">
        <v>0.24136110689220225</v>
      </c>
      <c r="G37" s="483">
        <v>0.49887742197895796</v>
      </c>
      <c r="H37" s="483">
        <v>0.68481758765958034</v>
      </c>
      <c r="I37" s="482">
        <v>7.8055230185234373E-2</v>
      </c>
      <c r="J37" s="482">
        <v>0.35990669601267816</v>
      </c>
      <c r="K37" s="482">
        <v>5.7771999999999997E-2</v>
      </c>
      <c r="L37" s="482">
        <v>0.36806255215770384</v>
      </c>
      <c r="M37" s="482">
        <v>6.5195129550317074E-2</v>
      </c>
      <c r="N37" s="483">
        <v>5.1703356564799483</v>
      </c>
      <c r="O37" s="483">
        <v>0.40639245191852991</v>
      </c>
      <c r="P37" s="483">
        <v>10.430921814187219</v>
      </c>
      <c r="Q37" s="483">
        <v>16.010708077169035</v>
      </c>
      <c r="R37" s="483">
        <v>2.487621710645108</v>
      </c>
      <c r="S37" s="483">
        <v>38.004589119017268</v>
      </c>
      <c r="T37" s="482">
        <v>6.759840602004305E-2</v>
      </c>
      <c r="U37" s="482">
        <v>1.1302319046604548E-2</v>
      </c>
      <c r="V37" s="482">
        <v>1.0736174909635713E-2</v>
      </c>
      <c r="W37" s="482">
        <v>1.0489393185820286</v>
      </c>
      <c r="X37" s="482">
        <v>9.7394053697848648E-2</v>
      </c>
      <c r="Y37" s="482">
        <v>0.52831596944849923</v>
      </c>
      <c r="Z37" s="482">
        <v>0.52831596944849923</v>
      </c>
      <c r="AA37" s="484">
        <v>2.5079007307986331E-2</v>
      </c>
    </row>
    <row r="38" spans="1:27" s="138" customFormat="1">
      <c r="A38" s="147" t="s">
        <v>663</v>
      </c>
      <c r="B38" s="268">
        <v>383</v>
      </c>
      <c r="C38" s="482">
        <v>5.8265655172413791E-2</v>
      </c>
      <c r="D38" s="482">
        <v>7.6458433925366998E-2</v>
      </c>
      <c r="E38" s="482">
        <v>0.12607849884713523</v>
      </c>
      <c r="F38" s="482">
        <v>0.17632848397893858</v>
      </c>
      <c r="G38" s="483">
        <v>0.9383844270287286</v>
      </c>
      <c r="H38" s="483">
        <v>0.96750966706597286</v>
      </c>
      <c r="I38" s="482">
        <v>9.3970794255814283E-2</v>
      </c>
      <c r="J38" s="482">
        <v>0.37311961082754663</v>
      </c>
      <c r="K38" s="482">
        <v>5.7771999999999997E-2</v>
      </c>
      <c r="L38" s="482">
        <v>0.20462935114074854</v>
      </c>
      <c r="M38" s="482">
        <v>8.3564255923209541E-2</v>
      </c>
      <c r="N38" s="483">
        <v>2.2730023498401595</v>
      </c>
      <c r="O38" s="483">
        <v>1.1591419602560977</v>
      </c>
      <c r="P38" s="483">
        <v>10.626401957357944</v>
      </c>
      <c r="Q38" s="483">
        <v>14.661645402454408</v>
      </c>
      <c r="R38" s="483">
        <v>2.1488890721361553</v>
      </c>
      <c r="S38" s="483">
        <v>46.608160212831258</v>
      </c>
      <c r="T38" s="482">
        <v>6.010427322295106E-2</v>
      </c>
      <c r="U38" s="482">
        <v>2.8334410043626398E-2</v>
      </c>
      <c r="V38" s="482">
        <v>2.2740231852081242E-2</v>
      </c>
      <c r="W38" s="482">
        <v>0.32721425217960226</v>
      </c>
      <c r="X38" s="482">
        <v>0.12494717102737499</v>
      </c>
      <c r="Y38" s="482">
        <v>0.67468069271665476</v>
      </c>
      <c r="Z38" s="482">
        <v>0.67468069271665476</v>
      </c>
      <c r="AA38" s="484">
        <v>7.776380429490147E-2</v>
      </c>
    </row>
    <row r="39" spans="1:27" s="138" customFormat="1">
      <c r="A39" s="147" t="s">
        <v>664</v>
      </c>
      <c r="B39" s="268">
        <v>258</v>
      </c>
      <c r="C39" s="482">
        <v>0.15465707317073177</v>
      </c>
      <c r="D39" s="482">
        <v>0.27720881594272379</v>
      </c>
      <c r="E39" s="482">
        <v>5.4897204031962597E-2</v>
      </c>
      <c r="F39" s="482">
        <v>0.16816570614983981</v>
      </c>
      <c r="G39" s="483">
        <v>0.56680021342816655</v>
      </c>
      <c r="H39" s="483">
        <v>0.83665283431558157</v>
      </c>
      <c r="I39" s="482">
        <v>8.6603554571967251E-2</v>
      </c>
      <c r="J39" s="482">
        <v>0.39025685451435643</v>
      </c>
      <c r="K39" s="482">
        <v>5.7771999999999997E-2</v>
      </c>
      <c r="L39" s="482">
        <v>0.41667017441972981</v>
      </c>
      <c r="M39" s="482">
        <v>6.8483272454058206E-2</v>
      </c>
      <c r="N39" s="483">
        <v>0.22394011640516348</v>
      </c>
      <c r="O39" s="483">
        <v>7.3845704711965876</v>
      </c>
      <c r="P39" s="483">
        <v>14.174838356803006</v>
      </c>
      <c r="Q39" s="483">
        <v>23.76529429542548</v>
      </c>
      <c r="R39" s="483">
        <v>1.8561252302849032</v>
      </c>
      <c r="S39" s="483">
        <v>72.000570895615894</v>
      </c>
      <c r="T39" s="482">
        <v>0.10292913586381727</v>
      </c>
      <c r="U39" s="482">
        <v>0.57851582133952706</v>
      </c>
      <c r="V39" s="482">
        <v>0.43682912648525624</v>
      </c>
      <c r="W39" s="482">
        <v>2.1095259986809864</v>
      </c>
      <c r="X39" s="482">
        <v>5.5770977538363305E-2</v>
      </c>
      <c r="Y39" s="482">
        <v>1.0941592910306226</v>
      </c>
      <c r="Z39" s="482">
        <v>1.0941592910306226</v>
      </c>
      <c r="AA39" s="484">
        <v>0.27635816643665156</v>
      </c>
    </row>
    <row r="40" spans="1:27" s="138" customFormat="1">
      <c r="A40" s="147" t="s">
        <v>665</v>
      </c>
      <c r="B40" s="268">
        <v>842</v>
      </c>
      <c r="C40" s="482">
        <v>0.1487204181818183</v>
      </c>
      <c r="D40" s="482">
        <v>0.14274902004586643</v>
      </c>
      <c r="E40" s="482">
        <v>0.13700397239661011</v>
      </c>
      <c r="F40" s="482">
        <v>0.17608159685714636</v>
      </c>
      <c r="G40" s="483">
        <v>1.1165102988785227</v>
      </c>
      <c r="H40" s="483">
        <v>1.1819539300300537</v>
      </c>
      <c r="I40" s="482">
        <v>0.10604400626069202</v>
      </c>
      <c r="J40" s="482">
        <v>0.48390168427392116</v>
      </c>
      <c r="K40" s="482">
        <v>6.0012999999999997E-2</v>
      </c>
      <c r="L40" s="482">
        <v>0.12173942005925363</v>
      </c>
      <c r="M40" s="482">
        <v>9.8586699292848246E-2</v>
      </c>
      <c r="N40" s="483">
        <v>1.2979371299589797</v>
      </c>
      <c r="O40" s="483">
        <v>4.1721894162098376</v>
      </c>
      <c r="P40" s="483">
        <v>18.549204606694463</v>
      </c>
      <c r="Q40" s="483">
        <v>28.097614180393862</v>
      </c>
      <c r="R40" s="483">
        <v>3.5309570672755908</v>
      </c>
      <c r="S40" s="483">
        <v>86.012620978138443</v>
      </c>
      <c r="T40" s="482">
        <v>0.26748556677127211</v>
      </c>
      <c r="U40" s="482">
        <v>4.8420564522474667E-2</v>
      </c>
      <c r="V40" s="482">
        <v>4.0250488442498948E-2</v>
      </c>
      <c r="W40" s="482">
        <v>0.49141192331256711</v>
      </c>
      <c r="X40" s="482">
        <v>9.0633294024226513E-2</v>
      </c>
      <c r="Y40" s="482">
        <v>0.47633956268317051</v>
      </c>
      <c r="Z40" s="482">
        <v>0.47633956268317057</v>
      </c>
      <c r="AA40" s="484">
        <v>0.14784296727127513</v>
      </c>
    </row>
    <row r="41" spans="1:27" s="138" customFormat="1">
      <c r="A41" s="147" t="s">
        <v>666</v>
      </c>
      <c r="B41" s="268">
        <v>478</v>
      </c>
      <c r="C41" s="482">
        <v>9.9016013513513551E-2</v>
      </c>
      <c r="D41" s="482">
        <v>3.1032761625625911E-2</v>
      </c>
      <c r="E41" s="482">
        <v>0.20715330775726026</v>
      </c>
      <c r="F41" s="482">
        <v>0.23729866475031874</v>
      </c>
      <c r="G41" s="483">
        <v>0.77867157306503187</v>
      </c>
      <c r="H41" s="483">
        <v>0.91655886724230395</v>
      </c>
      <c r="I41" s="482">
        <v>9.1102264225741719E-2</v>
      </c>
      <c r="J41" s="482">
        <v>0.42402591106783016</v>
      </c>
      <c r="K41" s="482">
        <v>5.7771999999999997E-2</v>
      </c>
      <c r="L41" s="482">
        <v>0.27602460295821835</v>
      </c>
      <c r="M41" s="482">
        <v>7.7856665910373532E-2</v>
      </c>
      <c r="N41" s="483">
        <v>8.0174903169543104</v>
      </c>
      <c r="O41" s="483">
        <v>0.49023075724184895</v>
      </c>
      <c r="P41" s="483">
        <v>11.287496549214437</v>
      </c>
      <c r="Q41" s="483">
        <v>15.306775306380244</v>
      </c>
      <c r="R41" s="483">
        <v>2.3059157056549422</v>
      </c>
      <c r="S41" s="483">
        <v>96.393080122182738</v>
      </c>
      <c r="T41" s="482">
        <v>-2.5456122847912713E-2</v>
      </c>
      <c r="U41" s="482">
        <v>6.9874458676130657E-3</v>
      </c>
      <c r="V41" s="482">
        <v>7.9490355492483136E-3</v>
      </c>
      <c r="W41" s="482">
        <v>0.51203696579652025</v>
      </c>
      <c r="X41" s="482">
        <v>8.4916050620570491E-2</v>
      </c>
      <c r="Y41" s="482">
        <v>0.53884772832218397</v>
      </c>
      <c r="Z41" s="482">
        <v>0.53884772832218397</v>
      </c>
      <c r="AA41" s="484">
        <v>3.113975705760709E-2</v>
      </c>
    </row>
    <row r="42" spans="1:27" s="138" customFormat="1">
      <c r="A42" s="147" t="s">
        <v>667</v>
      </c>
      <c r="B42" s="268">
        <v>430</v>
      </c>
      <c r="C42" s="482">
        <v>0.1298355252918289</v>
      </c>
      <c r="D42" s="482">
        <v>0.14787856254620874</v>
      </c>
      <c r="E42" s="482">
        <v>0.12540078363727983</v>
      </c>
      <c r="F42" s="482">
        <v>0.16974673339343496</v>
      </c>
      <c r="G42" s="483">
        <v>1.2072494398821825</v>
      </c>
      <c r="H42" s="483">
        <v>1.2899202129978531</v>
      </c>
      <c r="I42" s="482">
        <v>0.11212250799177914</v>
      </c>
      <c r="J42" s="482">
        <v>0.54353115703669563</v>
      </c>
      <c r="K42" s="482">
        <v>6.0012999999999997E-2</v>
      </c>
      <c r="L42" s="482">
        <v>0.12248710371956091</v>
      </c>
      <c r="M42" s="482">
        <v>0.10387486261407887</v>
      </c>
      <c r="N42" s="483">
        <v>1.086017834442093</v>
      </c>
      <c r="O42" s="483">
        <v>5.3224395214821909</v>
      </c>
      <c r="P42" s="483">
        <v>20.956993620629738</v>
      </c>
      <c r="Q42" s="483">
        <v>33.858261187836362</v>
      </c>
      <c r="R42" s="483">
        <v>3.8670022759556835</v>
      </c>
      <c r="S42" s="483">
        <v>321.79834790150278</v>
      </c>
      <c r="T42" s="482">
        <v>0.24363886256444162</v>
      </c>
      <c r="U42" s="482">
        <v>6.7081032262404902E-2</v>
      </c>
      <c r="V42" s="482">
        <v>3.6492186821953085E-2</v>
      </c>
      <c r="W42" s="482">
        <v>0.38425825772166067</v>
      </c>
      <c r="X42" s="482">
        <v>7.9344508325378441E-2</v>
      </c>
      <c r="Y42" s="482">
        <v>0.1919090959935171</v>
      </c>
      <c r="Z42" s="482">
        <v>0.19190909599351713</v>
      </c>
      <c r="AA42" s="484">
        <v>0.14950916247337984</v>
      </c>
    </row>
    <row r="43" spans="1:27" s="138" customFormat="1">
      <c r="A43" s="147" t="s">
        <v>668</v>
      </c>
      <c r="B43" s="268">
        <v>160</v>
      </c>
      <c r="C43" s="482">
        <v>7.172586466165419E-2</v>
      </c>
      <c r="D43" s="482">
        <v>0.10714292892588488</v>
      </c>
      <c r="E43" s="482">
        <v>0.10363608542706</v>
      </c>
      <c r="F43" s="482">
        <v>0.24790571139200948</v>
      </c>
      <c r="G43" s="483">
        <v>0.82239960265891954</v>
      </c>
      <c r="H43" s="483">
        <v>0.96023095128119218</v>
      </c>
      <c r="I43" s="482">
        <v>9.3561002557131123E-2</v>
      </c>
      <c r="J43" s="482">
        <v>0.3237403309830183</v>
      </c>
      <c r="K43" s="482">
        <v>5.7771999999999997E-2</v>
      </c>
      <c r="L43" s="482">
        <v>0.28520807142965304</v>
      </c>
      <c r="M43" s="482">
        <v>7.9173464933162616E-2</v>
      </c>
      <c r="N43" s="483">
        <v>1.2692985554148934</v>
      </c>
      <c r="O43" s="483">
        <v>1.1420542969778964</v>
      </c>
      <c r="P43" s="483">
        <v>9.4297074494674256</v>
      </c>
      <c r="Q43" s="483">
        <v>11.072664966899424</v>
      </c>
      <c r="R43" s="483">
        <v>1.3649958424099449</v>
      </c>
      <c r="S43" s="483">
        <v>23.786707375890142</v>
      </c>
      <c r="T43" s="482">
        <v>0.67330954380391694</v>
      </c>
      <c r="U43" s="482">
        <v>5.7214845186632042E-3</v>
      </c>
      <c r="V43" s="482">
        <v>5.7189247450365249E-3</v>
      </c>
      <c r="W43" s="482">
        <v>0.49894474132840821</v>
      </c>
      <c r="X43" s="482">
        <v>0.11465150572834348</v>
      </c>
      <c r="Y43" s="482">
        <v>0.24397300149014156</v>
      </c>
      <c r="Z43" s="482">
        <v>0.24397300149014156</v>
      </c>
      <c r="AA43" s="484">
        <v>0.10190992357484241</v>
      </c>
    </row>
    <row r="44" spans="1:27" s="138" customFormat="1">
      <c r="A44" s="147" t="s">
        <v>669</v>
      </c>
      <c r="B44" s="268">
        <v>249</v>
      </c>
      <c r="C44" s="482">
        <v>0.14257273809523807</v>
      </c>
      <c r="D44" s="482">
        <v>0.12267999695123254</v>
      </c>
      <c r="E44" s="482">
        <v>0.13209802635759535</v>
      </c>
      <c r="F44" s="482">
        <v>0.20444741882278555</v>
      </c>
      <c r="G44" s="483">
        <v>0.58385148574003343</v>
      </c>
      <c r="H44" s="483">
        <v>0.76017992531225853</v>
      </c>
      <c r="I44" s="482">
        <v>8.2298129795080166E-2</v>
      </c>
      <c r="J44" s="482">
        <v>0.36000622935158361</v>
      </c>
      <c r="K44" s="482">
        <v>5.7771999999999997E-2</v>
      </c>
      <c r="L44" s="482">
        <v>0.31779434713054949</v>
      </c>
      <c r="M44" s="482">
        <v>6.9846030058024033E-2</v>
      </c>
      <c r="N44" s="483">
        <v>1.3636037610293796</v>
      </c>
      <c r="O44" s="483">
        <v>2.1339760362843805</v>
      </c>
      <c r="P44" s="483">
        <v>11.887709487104136</v>
      </c>
      <c r="Q44" s="483">
        <v>17.798320930207474</v>
      </c>
      <c r="R44" s="483">
        <v>3.5496561305908965</v>
      </c>
      <c r="S44" s="483">
        <v>46.055186435808899</v>
      </c>
      <c r="T44" s="482">
        <v>5.674738642804298E-2</v>
      </c>
      <c r="U44" s="482">
        <v>6.7921719959345206E-2</v>
      </c>
      <c r="V44" s="482">
        <v>3.2702156782813289E-2</v>
      </c>
      <c r="W44" s="482">
        <v>0.36362105923150129</v>
      </c>
      <c r="X44" s="482">
        <v>0.17643006739581205</v>
      </c>
      <c r="Y44" s="482">
        <v>0.27117853706805428</v>
      </c>
      <c r="Z44" s="482">
        <v>0.27117853706805428</v>
      </c>
      <c r="AA44" s="484">
        <v>0.11911368711178436</v>
      </c>
    </row>
    <row r="45" spans="1:27" s="138" customFormat="1">
      <c r="A45" s="147" t="s">
        <v>670</v>
      </c>
      <c r="B45" s="268">
        <v>656</v>
      </c>
      <c r="C45" s="482">
        <v>0.18380844357976664</v>
      </c>
      <c r="D45" s="482">
        <v>0.16664109776586078</v>
      </c>
      <c r="E45" s="482">
        <v>0.11804602744851275</v>
      </c>
      <c r="F45" s="482">
        <v>0.18993968840023565</v>
      </c>
      <c r="G45" s="483">
        <v>0.65622444872734353</v>
      </c>
      <c r="H45" s="483">
        <v>0.79843023812672287</v>
      </c>
      <c r="I45" s="482">
        <v>8.4451622406534504E-2</v>
      </c>
      <c r="J45" s="482">
        <v>0.39273902826571117</v>
      </c>
      <c r="K45" s="482">
        <v>5.7771999999999997E-2</v>
      </c>
      <c r="L45" s="482">
        <v>0.28693765343770794</v>
      </c>
      <c r="M45" s="482">
        <v>7.2590658870175295E-2</v>
      </c>
      <c r="N45" s="483">
        <v>0.94173141848996189</v>
      </c>
      <c r="O45" s="483">
        <v>3.4487041203919846</v>
      </c>
      <c r="P45" s="483">
        <v>13.868181903700769</v>
      </c>
      <c r="Q45" s="483">
        <v>22.122563237973843</v>
      </c>
      <c r="R45" s="483">
        <v>4.5374401661213346</v>
      </c>
      <c r="S45" s="483">
        <v>74.501159238531685</v>
      </c>
      <c r="T45" s="482">
        <v>-3.7025642995356309E-2</v>
      </c>
      <c r="U45" s="482">
        <v>7.0659022345093372E-2</v>
      </c>
      <c r="V45" s="482">
        <v>1.9420092759141142E-2</v>
      </c>
      <c r="W45" s="482">
        <v>0.22443400325375706</v>
      </c>
      <c r="X45" s="482">
        <v>0.18953049072361661</v>
      </c>
      <c r="Y45" s="482">
        <v>0.36702024019977481</v>
      </c>
      <c r="Z45" s="482">
        <v>0.36702024019977486</v>
      </c>
      <c r="AA45" s="484">
        <v>0.15597411353037655</v>
      </c>
    </row>
    <row r="46" spans="1:27" s="138" customFormat="1">
      <c r="A46" s="147" t="s">
        <v>671</v>
      </c>
      <c r="B46" s="268">
        <v>588</v>
      </c>
      <c r="C46" s="482">
        <v>8.2152809278350503E-2</v>
      </c>
      <c r="D46" s="482">
        <v>0.16171888162125828</v>
      </c>
      <c r="E46" s="482">
        <v>0.23080676138017858</v>
      </c>
      <c r="F46" s="482">
        <v>0.23569724315525914</v>
      </c>
      <c r="G46" s="483">
        <v>0.77414442400605121</v>
      </c>
      <c r="H46" s="483">
        <v>0.83010589784014777</v>
      </c>
      <c r="I46" s="482">
        <v>8.6234962048400324E-2</v>
      </c>
      <c r="J46" s="482">
        <v>0.40417662949601962</v>
      </c>
      <c r="K46" s="482">
        <v>5.7771999999999997E-2</v>
      </c>
      <c r="L46" s="482">
        <v>0.13550275870524986</v>
      </c>
      <c r="M46" s="482">
        <v>8.0392121244048431E-2</v>
      </c>
      <c r="N46" s="483">
        <v>1.7936710513632075</v>
      </c>
      <c r="O46" s="483">
        <v>2.9023577342007028</v>
      </c>
      <c r="P46" s="483">
        <v>14.555484890232774</v>
      </c>
      <c r="Q46" s="483">
        <v>17.738636226195467</v>
      </c>
      <c r="R46" s="483">
        <v>4.625730847103978</v>
      </c>
      <c r="S46" s="483">
        <v>68.847670784637927</v>
      </c>
      <c r="T46" s="482">
        <v>5.926111688080881E-2</v>
      </c>
      <c r="U46" s="482">
        <v>3.852638846958889E-2</v>
      </c>
      <c r="V46" s="482">
        <v>2.191768875367988E-2</v>
      </c>
      <c r="W46" s="482">
        <v>0.23698493712281565</v>
      </c>
      <c r="X46" s="482">
        <v>0.18014873224411881</v>
      </c>
      <c r="Y46" s="482">
        <v>0.72418688865677183</v>
      </c>
      <c r="Z46" s="482">
        <v>0.72418688865677183</v>
      </c>
      <c r="AA46" s="484">
        <v>0.16336752086201686</v>
      </c>
    </row>
    <row r="47" spans="1:27" s="138" customFormat="1">
      <c r="A47" s="147" t="s">
        <v>672</v>
      </c>
      <c r="B47" s="268">
        <v>86</v>
      </c>
      <c r="C47" s="482">
        <v>0.10515932203389827</v>
      </c>
      <c r="D47" s="482">
        <v>0.11783275379023929</v>
      </c>
      <c r="E47" s="482">
        <v>0.22813484005297627</v>
      </c>
      <c r="F47" s="482">
        <v>0.25689126177174693</v>
      </c>
      <c r="G47" s="483">
        <v>0.87373594626591633</v>
      </c>
      <c r="H47" s="483">
        <v>1.023720593319527</v>
      </c>
      <c r="I47" s="482">
        <v>9.7135469403889368E-2</v>
      </c>
      <c r="J47" s="482">
        <v>0.38002786737468236</v>
      </c>
      <c r="K47" s="482">
        <v>5.7771999999999997E-2</v>
      </c>
      <c r="L47" s="482">
        <v>0.242311019702493</v>
      </c>
      <c r="M47" s="482">
        <v>8.4045773404790011E-2</v>
      </c>
      <c r="N47" s="483">
        <v>2.7131088826239425</v>
      </c>
      <c r="O47" s="483">
        <v>1.8827178508168099</v>
      </c>
      <c r="P47" s="483">
        <v>10.769732154027876</v>
      </c>
      <c r="Q47" s="483">
        <v>15.450292918568586</v>
      </c>
      <c r="R47" s="483">
        <v>3.2851009786830443</v>
      </c>
      <c r="S47" s="483">
        <v>36.746985408056098</v>
      </c>
      <c r="T47" s="482">
        <v>0.14122948120024681</v>
      </c>
      <c r="U47" s="482">
        <v>1.8928976615915496E-2</v>
      </c>
      <c r="V47" s="482">
        <v>-1.5897942130674692E-2</v>
      </c>
      <c r="W47" s="482">
        <v>-0.16290849539681423</v>
      </c>
      <c r="X47" s="482">
        <v>0.14547765798174869</v>
      </c>
      <c r="Y47" s="482">
        <v>0.37447220126481462</v>
      </c>
      <c r="Z47" s="482">
        <v>0.37447220126481462</v>
      </c>
      <c r="AA47" s="484">
        <v>0.11761319185366924</v>
      </c>
    </row>
    <row r="48" spans="1:27" s="138" customFormat="1">
      <c r="A48" s="147" t="s">
        <v>990</v>
      </c>
      <c r="B48" s="268">
        <v>204</v>
      </c>
      <c r="C48" s="482">
        <v>0.11401363636363636</v>
      </c>
      <c r="D48" s="482">
        <v>0.15445657090607279</v>
      </c>
      <c r="E48" s="482">
        <v>0.25623976617078165</v>
      </c>
      <c r="F48" s="482">
        <v>0.24866775409535186</v>
      </c>
      <c r="G48" s="483">
        <v>0.47307821960009511</v>
      </c>
      <c r="H48" s="483">
        <v>0.51023558184467732</v>
      </c>
      <c r="I48" s="482">
        <v>6.822626325785533E-2</v>
      </c>
      <c r="J48" s="482">
        <v>0.31989386190165692</v>
      </c>
      <c r="K48" s="482">
        <v>5.7771999999999997E-2</v>
      </c>
      <c r="L48" s="482">
        <v>0.23113277375837721</v>
      </c>
      <c r="M48" s="482">
        <v>6.2422283632434086E-2</v>
      </c>
      <c r="N48" s="483">
        <v>1.9599119037248687</v>
      </c>
      <c r="O48" s="483">
        <v>1.5635385296312037</v>
      </c>
      <c r="P48" s="483">
        <v>9.0022547702932467</v>
      </c>
      <c r="Q48" s="483">
        <v>8.9039548471428329</v>
      </c>
      <c r="R48" s="483">
        <v>2.2185757725911843</v>
      </c>
      <c r="S48" s="483">
        <v>16.331140642113464</v>
      </c>
      <c r="T48" s="482">
        <v>0.14788337988694164</v>
      </c>
      <c r="U48" s="482">
        <v>7.3596228024263126E-3</v>
      </c>
      <c r="V48" s="482">
        <v>5.7494450288650127E-2</v>
      </c>
      <c r="W48" s="482">
        <v>0.40707545600201306</v>
      </c>
      <c r="X48" s="482">
        <v>0.1852572774797504</v>
      </c>
      <c r="Y48" s="482">
        <v>0.41336158913853344</v>
      </c>
      <c r="Z48" s="482">
        <v>0.41336158913853338</v>
      </c>
      <c r="AA48" s="484">
        <v>0.15465575475705437</v>
      </c>
    </row>
    <row r="49" spans="1:27" s="138" customFormat="1">
      <c r="A49" s="147" t="s">
        <v>673</v>
      </c>
      <c r="B49" s="268">
        <v>143</v>
      </c>
      <c r="C49" s="482">
        <v>6.2243166666666655E-2</v>
      </c>
      <c r="D49" s="482">
        <v>0.17292473435410657</v>
      </c>
      <c r="E49" s="482">
        <v>0.14482008583497807</v>
      </c>
      <c r="F49" s="482">
        <v>0.16910786006937048</v>
      </c>
      <c r="G49" s="483">
        <v>0.79484843371730862</v>
      </c>
      <c r="H49" s="483">
        <v>0.80378133908447424</v>
      </c>
      <c r="I49" s="482">
        <v>8.4752889390455902E-2</v>
      </c>
      <c r="J49" s="482">
        <v>0.30013018809980385</v>
      </c>
      <c r="K49" s="482">
        <v>5.7771999999999997E-2</v>
      </c>
      <c r="L49" s="482">
        <v>0.42901155283676035</v>
      </c>
      <c r="M49" s="482">
        <v>6.6889858313425421E-2</v>
      </c>
      <c r="N49" s="483">
        <v>1.0113995296394984</v>
      </c>
      <c r="O49" s="483">
        <v>1.3194612032749615</v>
      </c>
      <c r="P49" s="483">
        <v>7.32719050483297</v>
      </c>
      <c r="Q49" s="483">
        <v>7.5229629612235787</v>
      </c>
      <c r="R49" s="483">
        <v>1.308116926097618</v>
      </c>
      <c r="S49" s="483">
        <v>75.317304706998144</v>
      </c>
      <c r="T49" s="482">
        <v>-1.0180401739630893</v>
      </c>
      <c r="U49" s="482">
        <v>6.9539194617155584E-3</v>
      </c>
      <c r="V49" s="482">
        <v>5.7096684574625264E-3</v>
      </c>
      <c r="W49" s="482">
        <v>-0.45321547123046757</v>
      </c>
      <c r="X49" s="482">
        <v>0.14149911722450623</v>
      </c>
      <c r="Y49" s="482">
        <v>0.36553252718444079</v>
      </c>
      <c r="Z49" s="482">
        <v>0.36553252718444074</v>
      </c>
      <c r="AA49" s="484">
        <v>0.17303918371777791</v>
      </c>
    </row>
    <row r="50" spans="1:27" s="138" customFormat="1">
      <c r="A50" s="147" t="s">
        <v>991</v>
      </c>
      <c r="B50" s="268">
        <v>248</v>
      </c>
      <c r="C50" s="482">
        <v>0.12782212560386477</v>
      </c>
      <c r="D50" s="482">
        <v>0.15264312455099202</v>
      </c>
      <c r="E50" s="482">
        <v>0.18054615244201797</v>
      </c>
      <c r="F50" s="482">
        <v>0.20891717268757617</v>
      </c>
      <c r="G50" s="483">
        <v>0.41237142593120613</v>
      </c>
      <c r="H50" s="483">
        <v>0.43182654796312653</v>
      </c>
      <c r="I50" s="482">
        <v>6.3811834650324029E-2</v>
      </c>
      <c r="J50" s="482">
        <v>0.29536018268044723</v>
      </c>
      <c r="K50" s="482">
        <v>5.4405999999999996E-2</v>
      </c>
      <c r="L50" s="482">
        <v>0.14042645163264783</v>
      </c>
      <c r="M50" s="482">
        <v>6.0552728130202314E-2</v>
      </c>
      <c r="N50" s="483">
        <v>1.4650859942025898</v>
      </c>
      <c r="O50" s="483">
        <v>1.3174858318730795</v>
      </c>
      <c r="P50" s="483">
        <v>7.8152889235781213</v>
      </c>
      <c r="Q50" s="483">
        <v>8.5778218902518955</v>
      </c>
      <c r="R50" s="483">
        <v>1.6744185890349317</v>
      </c>
      <c r="S50" s="483">
        <v>20.508619436664006</v>
      </c>
      <c r="T50" s="482">
        <v>-0.25821112713536004</v>
      </c>
      <c r="U50" s="482">
        <v>5.7689237141792778E-3</v>
      </c>
      <c r="V50" s="482">
        <v>-4.1756796973487454E-3</v>
      </c>
      <c r="W50" s="482">
        <v>-9.4639355206339315E-2</v>
      </c>
      <c r="X50" s="482">
        <v>0.17152714492867691</v>
      </c>
      <c r="Y50" s="482">
        <v>0.26560947747892083</v>
      </c>
      <c r="Z50" s="482">
        <v>0.26560947747892083</v>
      </c>
      <c r="AA50" s="484">
        <v>0.15285165280792148</v>
      </c>
    </row>
    <row r="51" spans="1:27" s="138" customFormat="1">
      <c r="A51" s="147" t="s">
        <v>992</v>
      </c>
      <c r="B51" s="268">
        <v>1315</v>
      </c>
      <c r="C51" s="482">
        <v>0.1776110707456979</v>
      </c>
      <c r="D51" s="482">
        <v>0.25050390077716367</v>
      </c>
      <c r="E51" s="482">
        <v>8.2955665050530591E-2</v>
      </c>
      <c r="F51" s="482">
        <v>0.17551746875362065</v>
      </c>
      <c r="G51" s="483">
        <v>0.56571305410496153</v>
      </c>
      <c r="H51" s="483">
        <v>0.74834020464177042</v>
      </c>
      <c r="I51" s="482">
        <v>8.1631553521331668E-2</v>
      </c>
      <c r="J51" s="482">
        <v>0.368566767701624</v>
      </c>
      <c r="K51" s="482">
        <v>5.7771999999999997E-2</v>
      </c>
      <c r="L51" s="482">
        <v>0.37632089628568316</v>
      </c>
      <c r="M51" s="482">
        <v>6.7137061250118979E-2</v>
      </c>
      <c r="N51" s="483">
        <v>0.35945156627035674</v>
      </c>
      <c r="O51" s="483">
        <v>5.4454341078826802</v>
      </c>
      <c r="P51" s="483">
        <v>19.002308845120492</v>
      </c>
      <c r="Q51" s="483">
        <v>16.954572438751413</v>
      </c>
      <c r="R51" s="483">
        <v>1.7488432954951763</v>
      </c>
      <c r="S51" s="483">
        <v>53.852283367200769</v>
      </c>
      <c r="T51" s="482" t="s">
        <v>88</v>
      </c>
      <c r="U51" s="482">
        <v>4.657453655800841E-2</v>
      </c>
      <c r="V51" s="482">
        <v>0.16099299032551878</v>
      </c>
      <c r="W51" s="482">
        <v>0.97547166706000676</v>
      </c>
      <c r="X51" s="482">
        <v>0.1201379201054396</v>
      </c>
      <c r="Y51" s="482">
        <v>0.49503943167385944</v>
      </c>
      <c r="Z51" s="482">
        <v>0.49503943167385944</v>
      </c>
      <c r="AA51" s="484">
        <v>0.24950050254725029</v>
      </c>
    </row>
    <row r="52" spans="1:27" s="138" customFormat="1">
      <c r="A52" s="147" t="s">
        <v>674</v>
      </c>
      <c r="B52" s="268">
        <v>1553</v>
      </c>
      <c r="C52" s="482">
        <v>8.6788978040540504E-2</v>
      </c>
      <c r="D52" s="482">
        <v>0.10357060203933255</v>
      </c>
      <c r="E52" s="482">
        <v>0.11835120000818343</v>
      </c>
      <c r="F52" s="482">
        <v>0.22163070803455365</v>
      </c>
      <c r="G52" s="483">
        <v>1.3296217161025889</v>
      </c>
      <c r="H52" s="483">
        <v>1.3694737580048848</v>
      </c>
      <c r="I52" s="482">
        <v>0.11660137257567502</v>
      </c>
      <c r="J52" s="482">
        <v>0.40339936095861362</v>
      </c>
      <c r="K52" s="482">
        <v>5.7771999999999997E-2</v>
      </c>
      <c r="L52" s="482">
        <v>0.11937484553791054</v>
      </c>
      <c r="M52" s="482">
        <v>0.10782897728002483</v>
      </c>
      <c r="N52" s="483">
        <v>1.4800812808699546</v>
      </c>
      <c r="O52" s="483">
        <v>2.6137494417994116</v>
      </c>
      <c r="P52" s="483">
        <v>16.884089796488141</v>
      </c>
      <c r="Q52" s="483">
        <v>23.606058762209912</v>
      </c>
      <c r="R52" s="483">
        <v>3.372396135020447</v>
      </c>
      <c r="S52" s="483">
        <v>88.38334357634362</v>
      </c>
      <c r="T52" s="482">
        <v>0.29122462303494673</v>
      </c>
      <c r="U52" s="482">
        <v>4.0548849620912687E-2</v>
      </c>
      <c r="V52" s="482">
        <v>3.3716445957821688E-2</v>
      </c>
      <c r="W52" s="482">
        <v>0.54506657743017073</v>
      </c>
      <c r="X52" s="482">
        <v>0.10900842079326062</v>
      </c>
      <c r="Y52" s="482">
        <v>0.45978918363051763</v>
      </c>
      <c r="Z52" s="482">
        <v>0.45978918363051768</v>
      </c>
      <c r="AA52" s="484">
        <v>0.10661971175379394</v>
      </c>
    </row>
    <row r="53" spans="1:27" s="138" customFormat="1">
      <c r="A53" s="147" t="s">
        <v>609</v>
      </c>
      <c r="B53" s="268">
        <v>1874</v>
      </c>
      <c r="C53" s="482">
        <v>0.25604050200803208</v>
      </c>
      <c r="D53" s="482">
        <v>0.10725366601407861</v>
      </c>
      <c r="E53" s="482">
        <v>0.13657806342663706</v>
      </c>
      <c r="F53" s="482">
        <v>0.29838738084891459</v>
      </c>
      <c r="G53" s="483">
        <v>1.1256104046768172</v>
      </c>
      <c r="H53" s="483">
        <v>1.2362712416499424</v>
      </c>
      <c r="I53" s="482">
        <v>0.10910207090489177</v>
      </c>
      <c r="J53" s="482">
        <v>0.74739926318357797</v>
      </c>
      <c r="K53" s="482">
        <v>6.7294999999999994E-2</v>
      </c>
      <c r="L53" s="482">
        <v>0.18727151176244541</v>
      </c>
      <c r="M53" s="482">
        <v>9.8075559423538503E-2</v>
      </c>
      <c r="N53" s="483">
        <v>1.3473022786023205</v>
      </c>
      <c r="O53" s="483">
        <v>1.843836632024247</v>
      </c>
      <c r="P53" s="483">
        <v>10.69072789917057</v>
      </c>
      <c r="Q53" s="483">
        <v>15.978244984223554</v>
      </c>
      <c r="R53" s="483">
        <v>2.5662225822140057</v>
      </c>
      <c r="S53" s="483">
        <v>77.313819768184047</v>
      </c>
      <c r="T53" s="482">
        <v>0.1276850013196309</v>
      </c>
      <c r="U53" s="482">
        <v>8.0352820962738783E-2</v>
      </c>
      <c r="V53" s="482">
        <v>5.8111348654654935E-2</v>
      </c>
      <c r="W53" s="482">
        <v>0.92867065630351342</v>
      </c>
      <c r="X53" s="482">
        <v>9.1323863579960154E-2</v>
      </c>
      <c r="Y53" s="482">
        <v>0.68474798205135301</v>
      </c>
      <c r="Z53" s="482">
        <v>0.68474798205135301</v>
      </c>
      <c r="AA53" s="484">
        <v>0.108869549778273</v>
      </c>
    </row>
    <row r="54" spans="1:27" s="138" customFormat="1">
      <c r="A54" s="147" t="s">
        <v>675</v>
      </c>
      <c r="B54" s="268">
        <v>139</v>
      </c>
      <c r="C54" s="482">
        <v>4.6683917525773201E-2</v>
      </c>
      <c r="D54" s="482">
        <v>7.728502336481427E-2</v>
      </c>
      <c r="E54" s="482">
        <v>0.12615897165864376</v>
      </c>
      <c r="F54" s="482">
        <v>0.25463181913557814</v>
      </c>
      <c r="G54" s="483">
        <v>0.71130139350537458</v>
      </c>
      <c r="H54" s="483">
        <v>0.75869634029438304</v>
      </c>
      <c r="I54" s="482">
        <v>8.2214603958573773E-2</v>
      </c>
      <c r="J54" s="482">
        <v>0.36872237756729248</v>
      </c>
      <c r="K54" s="482">
        <v>5.7771999999999997E-2</v>
      </c>
      <c r="L54" s="482">
        <v>0.22220736023727131</v>
      </c>
      <c r="M54" s="482">
        <v>7.3526438306329281E-2</v>
      </c>
      <c r="N54" s="483">
        <v>2.0880814170229338</v>
      </c>
      <c r="O54" s="483">
        <v>1.0768467034939373</v>
      </c>
      <c r="P54" s="483">
        <v>9.1443038159520995</v>
      </c>
      <c r="Q54" s="483">
        <v>13.485343836416577</v>
      </c>
      <c r="R54" s="483">
        <v>1.7950846560021174</v>
      </c>
      <c r="S54" s="483">
        <v>24.584696011605487</v>
      </c>
      <c r="T54" s="482">
        <v>0.15005817255787923</v>
      </c>
      <c r="U54" s="482">
        <v>3.2486451947451034E-2</v>
      </c>
      <c r="V54" s="482">
        <v>2.5494473584194093E-2</v>
      </c>
      <c r="W54" s="482">
        <v>0.5985490652851968</v>
      </c>
      <c r="X54" s="482">
        <v>8.7389215216705993E-2</v>
      </c>
      <c r="Y54" s="482">
        <v>0.65491357770172831</v>
      </c>
      <c r="Z54" s="482">
        <v>0.65491357770172831</v>
      </c>
      <c r="AA54" s="484">
        <v>7.8439955123608379E-2</v>
      </c>
    </row>
    <row r="55" spans="1:27" s="138" customFormat="1">
      <c r="A55" s="147" t="s">
        <v>676</v>
      </c>
      <c r="B55" s="268">
        <v>34</v>
      </c>
      <c r="C55" s="482">
        <v>0.10255882352941176</v>
      </c>
      <c r="D55" s="482">
        <v>0.14271950245747214</v>
      </c>
      <c r="E55" s="482">
        <v>0.1387668708403002</v>
      </c>
      <c r="F55" s="482">
        <v>0.44047646902534587</v>
      </c>
      <c r="G55" s="483">
        <v>0.63246761885771441</v>
      </c>
      <c r="H55" s="483">
        <v>0.68873305800626605</v>
      </c>
      <c r="I55" s="482">
        <v>7.8275671165752778E-2</v>
      </c>
      <c r="J55" s="482">
        <v>0.29124733654966167</v>
      </c>
      <c r="K55" s="482">
        <v>5.4405999999999996E-2</v>
      </c>
      <c r="L55" s="482">
        <v>0.17764359399538568</v>
      </c>
      <c r="M55" s="482">
        <v>7.1583397602365012E-2</v>
      </c>
      <c r="N55" s="483">
        <v>1.368595975044083</v>
      </c>
      <c r="O55" s="483">
        <v>1.3261820608682251</v>
      </c>
      <c r="P55" s="483">
        <v>6.1816708567061935</v>
      </c>
      <c r="Q55" s="483">
        <v>9.2501823664225178</v>
      </c>
      <c r="R55" s="483">
        <v>1.7150981519077635</v>
      </c>
      <c r="S55" s="483">
        <v>15.630273590515602</v>
      </c>
      <c r="T55" s="482">
        <v>2.5364589473714852E-2</v>
      </c>
      <c r="U55" s="482">
        <v>9.0393484015895767E-2</v>
      </c>
      <c r="V55" s="482">
        <v>1.7564474646550188E-2</v>
      </c>
      <c r="W55" s="482">
        <v>0.2493961690204361</v>
      </c>
      <c r="X55" s="482">
        <v>0.12207065752880029</v>
      </c>
      <c r="Y55" s="482">
        <v>0.79868862990167377</v>
      </c>
      <c r="Z55" s="482">
        <v>0.79868862990167377</v>
      </c>
      <c r="AA55" s="484">
        <v>0.14343878765167228</v>
      </c>
    </row>
    <row r="56" spans="1:27" s="138" customFormat="1">
      <c r="A56" s="147" t="s">
        <v>610</v>
      </c>
      <c r="B56" s="268">
        <v>539</v>
      </c>
      <c r="C56" s="482">
        <v>0.22485934426229515</v>
      </c>
      <c r="D56" s="482">
        <v>0.28507903246431077</v>
      </c>
      <c r="E56" s="482">
        <v>0.14869475920730077</v>
      </c>
      <c r="F56" s="482">
        <v>0.35056253018303679</v>
      </c>
      <c r="G56" s="483">
        <v>0.74638545916016252</v>
      </c>
      <c r="H56" s="483">
        <v>0.88555546755847114</v>
      </c>
      <c r="I56" s="482">
        <v>8.935677282354193E-2</v>
      </c>
      <c r="J56" s="482">
        <v>0.53918089053215745</v>
      </c>
      <c r="K56" s="482">
        <v>6.0012999999999997E-2</v>
      </c>
      <c r="L56" s="482">
        <v>0.26371020902828413</v>
      </c>
      <c r="M56" s="482">
        <v>7.7603453814098264E-2</v>
      </c>
      <c r="N56" s="483">
        <v>0.57279995877477607</v>
      </c>
      <c r="O56" s="483">
        <v>2.5887742105806848</v>
      </c>
      <c r="P56" s="483">
        <v>4.8365685617860521</v>
      </c>
      <c r="Q56" s="483">
        <v>8.9258906875453228</v>
      </c>
      <c r="R56" s="483">
        <v>1.3314467444109244</v>
      </c>
      <c r="S56" s="483">
        <v>28.760500906519145</v>
      </c>
      <c r="T56" s="482">
        <v>1.1403498606108141E-2</v>
      </c>
      <c r="U56" s="482">
        <v>0.33688213414137436</v>
      </c>
      <c r="V56" s="482">
        <v>0.18527235529710939</v>
      </c>
      <c r="W56" s="482">
        <v>0.92668522804010711</v>
      </c>
      <c r="X56" s="482">
        <v>0.11803732977667621</v>
      </c>
      <c r="Y56" s="482">
        <v>0.54791966860852614</v>
      </c>
      <c r="Z56" s="482">
        <v>0.54791966860852614</v>
      </c>
      <c r="AA56" s="484">
        <v>0.28666969360224226</v>
      </c>
    </row>
    <row r="57" spans="1:27" s="138" customFormat="1">
      <c r="A57" s="147" t="s">
        <v>677</v>
      </c>
      <c r="B57" s="268">
        <v>186</v>
      </c>
      <c r="C57" s="482">
        <v>9.5912556390977441E-2</v>
      </c>
      <c r="D57" s="482">
        <v>0.17241837691415091</v>
      </c>
      <c r="E57" s="482">
        <v>9.1910736749790251E-2</v>
      </c>
      <c r="F57" s="482">
        <v>0.18682801012319913</v>
      </c>
      <c r="G57" s="483">
        <v>0.46115425271444288</v>
      </c>
      <c r="H57" s="483">
        <v>0.65347788879632085</v>
      </c>
      <c r="I57" s="482">
        <v>7.6290805139232865E-2</v>
      </c>
      <c r="J57" s="482">
        <v>0.33957384631129722</v>
      </c>
      <c r="K57" s="482">
        <v>5.7771999999999997E-2</v>
      </c>
      <c r="L57" s="482">
        <v>0.38095835053414323</v>
      </c>
      <c r="M57" s="482">
        <v>6.3652297937202756E-2</v>
      </c>
      <c r="N57" s="483">
        <v>0.60444367955490141</v>
      </c>
      <c r="O57" s="483">
        <v>3.0539573938566664</v>
      </c>
      <c r="P57" s="483">
        <v>11.782530005913099</v>
      </c>
      <c r="Q57" s="483">
        <v>17.430603995176689</v>
      </c>
      <c r="R57" s="483">
        <v>2.0987568998801729</v>
      </c>
      <c r="S57" s="483">
        <v>27.829396372205068</v>
      </c>
      <c r="T57" s="482">
        <v>2.6151137146679035E-2</v>
      </c>
      <c r="U57" s="482">
        <v>0.14977794891776844</v>
      </c>
      <c r="V57" s="482">
        <v>0.10783598301822635</v>
      </c>
      <c r="W57" s="482">
        <v>0.79162661883206109</v>
      </c>
      <c r="X57" s="482">
        <v>0.1304519999296142</v>
      </c>
      <c r="Y57" s="482">
        <v>0.81793016681096242</v>
      </c>
      <c r="Z57" s="482">
        <v>0.81793016681096242</v>
      </c>
      <c r="AA57" s="484">
        <v>0.17337523242333899</v>
      </c>
    </row>
    <row r="58" spans="1:27" s="138" customFormat="1">
      <c r="A58" s="147" t="s">
        <v>678</v>
      </c>
      <c r="B58" s="268">
        <v>431</v>
      </c>
      <c r="C58" s="482">
        <v>0.11601196923076922</v>
      </c>
      <c r="D58" s="482">
        <v>5.007511671050164E-2</v>
      </c>
      <c r="E58" s="482">
        <v>9.0593009610380776E-2</v>
      </c>
      <c r="F58" s="482">
        <v>0.23026197840476501</v>
      </c>
      <c r="G58" s="483">
        <v>0.79965086943621677</v>
      </c>
      <c r="H58" s="483">
        <v>0.94823600069298752</v>
      </c>
      <c r="I58" s="482">
        <v>9.28856868390152E-2</v>
      </c>
      <c r="J58" s="482">
        <v>0.42213803953767687</v>
      </c>
      <c r="K58" s="482">
        <v>5.7771999999999997E-2</v>
      </c>
      <c r="L58" s="482">
        <v>0.28399112717545283</v>
      </c>
      <c r="M58" s="482">
        <v>7.8751322563545376E-2</v>
      </c>
      <c r="N58" s="483">
        <v>2.0987905729596927</v>
      </c>
      <c r="O58" s="483">
        <v>0.75986786168136822</v>
      </c>
      <c r="P58" s="483">
        <v>8.8303367898348597</v>
      </c>
      <c r="Q58" s="483">
        <v>14.493304714400686</v>
      </c>
      <c r="R58" s="483">
        <v>1.542832887564483</v>
      </c>
      <c r="S58" s="483">
        <v>41.452063158085586</v>
      </c>
      <c r="T58" s="482">
        <v>5.4751487026760352E-2</v>
      </c>
      <c r="U58" s="482">
        <v>4.2127441674789108E-2</v>
      </c>
      <c r="V58" s="482">
        <v>2.1610462651634573E-2</v>
      </c>
      <c r="W58" s="482">
        <v>0.28896627798202468</v>
      </c>
      <c r="X58" s="482">
        <v>8.2642239548227012E-2</v>
      </c>
      <c r="Y58" s="482">
        <v>0.55553865733300245</v>
      </c>
      <c r="Z58" s="482">
        <v>0.55553865733300245</v>
      </c>
      <c r="AA58" s="484">
        <v>5.0896822510141694E-2</v>
      </c>
    </row>
    <row r="59" spans="1:27" s="138" customFormat="1">
      <c r="A59" s="147" t="s">
        <v>679</v>
      </c>
      <c r="B59" s="268">
        <v>438</v>
      </c>
      <c r="C59" s="482">
        <v>7.8556686746987986E-2</v>
      </c>
      <c r="D59" s="482">
        <v>7.8360144531451542E-2</v>
      </c>
      <c r="E59" s="482">
        <v>9.2832569800808493E-2</v>
      </c>
      <c r="F59" s="482">
        <v>0.23255421111732327</v>
      </c>
      <c r="G59" s="483">
        <v>0.57555244396414651</v>
      </c>
      <c r="H59" s="483">
        <v>0.75913513257041632</v>
      </c>
      <c r="I59" s="482">
        <v>8.2239307963714439E-2</v>
      </c>
      <c r="J59" s="482">
        <v>0.3441170723962298</v>
      </c>
      <c r="K59" s="482">
        <v>5.7771999999999997E-2</v>
      </c>
      <c r="L59" s="482">
        <v>0.34489330335176677</v>
      </c>
      <c r="M59" s="482">
        <v>6.8745680164765829E-2</v>
      </c>
      <c r="N59" s="483">
        <v>1.425153303986407</v>
      </c>
      <c r="O59" s="483">
        <v>1.3795754214035487</v>
      </c>
      <c r="P59" s="483">
        <v>9.5623667398963796</v>
      </c>
      <c r="Q59" s="483">
        <v>17.041243538279751</v>
      </c>
      <c r="R59" s="483">
        <v>1.6186188109978783</v>
      </c>
      <c r="S59" s="483">
        <v>38.912057731343708</v>
      </c>
      <c r="T59" s="482">
        <v>0.15662243803686943</v>
      </c>
      <c r="U59" s="482">
        <v>6.0653473984034714E-2</v>
      </c>
      <c r="V59" s="482">
        <v>3.9613626875541062E-2</v>
      </c>
      <c r="W59" s="482">
        <v>0.84282628944733418</v>
      </c>
      <c r="X59" s="482">
        <v>8.5799384852208699E-2</v>
      </c>
      <c r="Y59" s="482">
        <v>0.66060121339636713</v>
      </c>
      <c r="Z59" s="482">
        <v>0.66060121339636713</v>
      </c>
      <c r="AA59" s="484">
        <v>8.0003259148467967E-2</v>
      </c>
    </row>
    <row r="60" spans="1:27" s="138" customFormat="1">
      <c r="A60" s="147" t="s">
        <v>680</v>
      </c>
      <c r="B60" s="268">
        <v>271</v>
      </c>
      <c r="C60" s="482">
        <v>6.9212857142857132E-2</v>
      </c>
      <c r="D60" s="482">
        <v>4.2965671905443474E-2</v>
      </c>
      <c r="E60" s="482">
        <v>2.912813212669578E-2</v>
      </c>
      <c r="F60" s="482">
        <v>0.22255766130489102</v>
      </c>
      <c r="G60" s="483">
        <v>0.61065401103727024</v>
      </c>
      <c r="H60" s="483">
        <v>0.8886903362780022</v>
      </c>
      <c r="I60" s="482">
        <v>8.9533265932451533E-2</v>
      </c>
      <c r="J60" s="482">
        <v>0.36751021537842715</v>
      </c>
      <c r="K60" s="482">
        <v>5.7771999999999997E-2</v>
      </c>
      <c r="L60" s="482">
        <v>0.43845709457033261</v>
      </c>
      <c r="M60" s="482">
        <v>6.9180954724864019E-2</v>
      </c>
      <c r="N60" s="483">
        <v>0.79364887363032466</v>
      </c>
      <c r="O60" s="483">
        <v>1.3043312577076893</v>
      </c>
      <c r="P60" s="483">
        <v>10.479050222353669</v>
      </c>
      <c r="Q60" s="483">
        <v>28.662670224152858</v>
      </c>
      <c r="R60" s="483">
        <v>0.93524748799687596</v>
      </c>
      <c r="S60" s="483">
        <v>149.24502694790377</v>
      </c>
      <c r="T60" s="482">
        <v>0.1755412575561123</v>
      </c>
      <c r="U60" s="482">
        <v>9.3647047653606263E-2</v>
      </c>
      <c r="V60" s="482">
        <v>4.3899060978280488E-2</v>
      </c>
      <c r="W60" s="482">
        <v>1.3729869947763789</v>
      </c>
      <c r="X60" s="482">
        <v>1.764148774776679E-2</v>
      </c>
      <c r="Y60" s="482">
        <v>2.0595295432241483</v>
      </c>
      <c r="Z60" s="482">
        <v>2.0595295432241483</v>
      </c>
      <c r="AA60" s="484">
        <v>4.2633888432073636E-2</v>
      </c>
    </row>
    <row r="61" spans="1:27" s="138" customFormat="1">
      <c r="A61" s="147" t="s">
        <v>681</v>
      </c>
      <c r="B61" s="268">
        <v>486</v>
      </c>
      <c r="C61" s="482">
        <v>0.10156057279236279</v>
      </c>
      <c r="D61" s="482">
        <v>0.15163535940548345</v>
      </c>
      <c r="E61" s="482">
        <v>7.0176506260250043E-2</v>
      </c>
      <c r="F61" s="482">
        <v>0.20324628600859226</v>
      </c>
      <c r="G61" s="483">
        <v>0.45529282820391004</v>
      </c>
      <c r="H61" s="483">
        <v>0.71309583438521496</v>
      </c>
      <c r="I61" s="482">
        <v>7.9647295475887614E-2</v>
      </c>
      <c r="J61" s="482">
        <v>0.30609405970972298</v>
      </c>
      <c r="K61" s="482">
        <v>5.7771999999999997E-2</v>
      </c>
      <c r="L61" s="482">
        <v>0.46197729661889697</v>
      </c>
      <c r="M61" s="482">
        <v>6.2770316910323753E-2</v>
      </c>
      <c r="N61" s="483">
        <v>0.56560993900650303</v>
      </c>
      <c r="O61" s="483">
        <v>2.5519559062360764</v>
      </c>
      <c r="P61" s="483">
        <v>10.100173928212719</v>
      </c>
      <c r="Q61" s="483">
        <v>16.790847630501311</v>
      </c>
      <c r="R61" s="483">
        <v>1.4609277699680119</v>
      </c>
      <c r="S61" s="483">
        <v>62.564807538097611</v>
      </c>
      <c r="T61" s="482">
        <v>2.7031044696666992E-2</v>
      </c>
      <c r="U61" s="482">
        <v>0.21456447533459777</v>
      </c>
      <c r="V61" s="482">
        <v>0.13400709330762695</v>
      </c>
      <c r="W61" s="482">
        <v>1.126089659478797</v>
      </c>
      <c r="X61" s="482">
        <v>0.10274405443798396</v>
      </c>
      <c r="Y61" s="482">
        <v>0.62002726518191442</v>
      </c>
      <c r="Z61" s="482">
        <v>0.62002726518191442</v>
      </c>
      <c r="AA61" s="484">
        <v>0.15159697968627556</v>
      </c>
    </row>
    <row r="62" spans="1:27" s="138" customFormat="1">
      <c r="A62" s="147" t="s">
        <v>682</v>
      </c>
      <c r="B62" s="268">
        <v>777</v>
      </c>
      <c r="C62" s="482">
        <v>0.37462456989247334</v>
      </c>
      <c r="D62" s="482">
        <v>0.24943597930739961</v>
      </c>
      <c r="E62" s="482">
        <v>0.21530138733737769</v>
      </c>
      <c r="F62" s="482">
        <v>0.28078920997935874</v>
      </c>
      <c r="G62" s="483">
        <v>1.3739381911113473</v>
      </c>
      <c r="H62" s="483">
        <v>1.3975027216705875</v>
      </c>
      <c r="I62" s="482">
        <v>0.11817940323005408</v>
      </c>
      <c r="J62" s="482">
        <v>0.79893710560481934</v>
      </c>
      <c r="K62" s="482">
        <v>6.7294999999999994E-2</v>
      </c>
      <c r="L62" s="482">
        <v>8.3037578862092593E-2</v>
      </c>
      <c r="M62" s="482">
        <v>0.11253640646528956</v>
      </c>
      <c r="N62" s="483">
        <v>0.91764343588588204</v>
      </c>
      <c r="O62" s="483">
        <v>4.7533815265692576</v>
      </c>
      <c r="P62" s="483">
        <v>12.736512669240044</v>
      </c>
      <c r="Q62" s="483">
        <v>17.837739228253213</v>
      </c>
      <c r="R62" s="483">
        <v>3.8046572803047476</v>
      </c>
      <c r="S62" s="483">
        <v>116.98436360342707</v>
      </c>
      <c r="T62" s="482">
        <v>8.0279240663237175E-2</v>
      </c>
      <c r="U62" s="482">
        <v>0.16035755252625084</v>
      </c>
      <c r="V62" s="482">
        <v>0.11788558476289505</v>
      </c>
      <c r="W62" s="482">
        <v>0.71585186785009502</v>
      </c>
      <c r="X62" s="482">
        <v>0.16901958418142421</v>
      </c>
      <c r="Y62" s="482">
        <v>0.29564178751718834</v>
      </c>
      <c r="Z62" s="482">
        <v>0.29564178751718839</v>
      </c>
      <c r="AA62" s="484">
        <v>0.24974338129580254</v>
      </c>
    </row>
    <row r="63" spans="1:27" s="138" customFormat="1">
      <c r="A63" s="147" t="s">
        <v>683</v>
      </c>
      <c r="B63" s="268">
        <v>307</v>
      </c>
      <c r="C63" s="482">
        <v>3.0572470588235295E-2</v>
      </c>
      <c r="D63" s="482">
        <v>7.3815903851705555E-2</v>
      </c>
      <c r="E63" s="482">
        <v>9.3221906144559927E-2</v>
      </c>
      <c r="F63" s="482">
        <v>0.26540695656935404</v>
      </c>
      <c r="G63" s="483">
        <v>0.77878896302682721</v>
      </c>
      <c r="H63" s="483">
        <v>0.81662806293641388</v>
      </c>
      <c r="I63" s="482">
        <v>8.5476159943320112E-2</v>
      </c>
      <c r="J63" s="482">
        <v>0.36176808057819138</v>
      </c>
      <c r="K63" s="482">
        <v>5.7771999999999997E-2</v>
      </c>
      <c r="L63" s="482">
        <v>0.21868229639918471</v>
      </c>
      <c r="M63" s="482">
        <v>7.6212577479789115E-2</v>
      </c>
      <c r="N63" s="483">
        <v>1.5592006316404636</v>
      </c>
      <c r="O63" s="483">
        <v>1.2980663886957393</v>
      </c>
      <c r="P63" s="483">
        <v>10.231798109248684</v>
      </c>
      <c r="Q63" s="483">
        <v>16.492230504795497</v>
      </c>
      <c r="R63" s="483">
        <v>1.5238708199135993</v>
      </c>
      <c r="S63" s="483">
        <v>71.364921224527677</v>
      </c>
      <c r="T63" s="482">
        <v>7.2361188690830858E-2</v>
      </c>
      <c r="U63" s="482">
        <v>3.4508683694392826E-2</v>
      </c>
      <c r="V63" s="482">
        <v>1.8952713426353331E-2</v>
      </c>
      <c r="W63" s="482">
        <v>0.59410598642852253</v>
      </c>
      <c r="X63" s="482">
        <v>7.0289363795654813E-2</v>
      </c>
      <c r="Y63" s="482">
        <v>0.48492949088834603</v>
      </c>
      <c r="Z63" s="482">
        <v>0.48492949088834603</v>
      </c>
      <c r="AA63" s="484">
        <v>7.4285400023389958E-2</v>
      </c>
    </row>
    <row r="64" spans="1:27" s="138" customFormat="1">
      <c r="A64" s="147" t="s">
        <v>684</v>
      </c>
      <c r="B64" s="268">
        <v>643</v>
      </c>
      <c r="C64" s="482">
        <v>0.11494384458077717</v>
      </c>
      <c r="D64" s="482">
        <v>0.31916382606822452</v>
      </c>
      <c r="E64" s="482">
        <v>3.662333496456642E-2</v>
      </c>
      <c r="F64" s="482">
        <v>5.1004101689956664E-2</v>
      </c>
      <c r="G64" s="483">
        <v>0.3617107801017127</v>
      </c>
      <c r="H64" s="483">
        <v>0.5649158041768807</v>
      </c>
      <c r="I64" s="482">
        <v>7.1304759775158377E-2</v>
      </c>
      <c r="J64" s="482">
        <v>0.22812244010542768</v>
      </c>
      <c r="K64" s="482">
        <v>5.4405999999999996E-2</v>
      </c>
      <c r="L64" s="482">
        <v>0.44467414667175709</v>
      </c>
      <c r="M64" s="482">
        <v>5.7652568902364761E-2</v>
      </c>
      <c r="N64" s="483">
        <v>0.12707889995427202</v>
      </c>
      <c r="O64" s="483">
        <v>10.834231956782414</v>
      </c>
      <c r="P64" s="483">
        <v>19.695828759466512</v>
      </c>
      <c r="Q64" s="483">
        <v>31.751049384797813</v>
      </c>
      <c r="R64" s="483">
        <v>1.4905263700545119</v>
      </c>
      <c r="S64" s="483">
        <v>27.846941015012394</v>
      </c>
      <c r="T64" s="482">
        <v>1.1211222501593157</v>
      </c>
      <c r="U64" s="482">
        <v>4.479808563980852E-2</v>
      </c>
      <c r="V64" s="482">
        <v>-5.5882845835199368E-2</v>
      </c>
      <c r="W64" s="482">
        <v>-0.17366372464957841</v>
      </c>
      <c r="X64" s="482">
        <v>5.3208944042787878E-2</v>
      </c>
      <c r="Y64" s="482">
        <v>1.402724258789219</v>
      </c>
      <c r="Z64" s="482">
        <v>1.402724258789219</v>
      </c>
      <c r="AA64" s="484">
        <v>0.3001236105920998</v>
      </c>
    </row>
    <row r="65" spans="1:27" s="138" customFormat="1">
      <c r="A65" s="147" t="s">
        <v>685</v>
      </c>
      <c r="B65" s="268">
        <v>895</v>
      </c>
      <c r="C65" s="482">
        <v>0.10927880785413732</v>
      </c>
      <c r="D65" s="482">
        <v>3.4640434048005986E-2</v>
      </c>
      <c r="E65" s="482">
        <v>1.2077386763519887E-2</v>
      </c>
      <c r="F65" s="482">
        <v>0.29534346050908533</v>
      </c>
      <c r="G65" s="483">
        <v>0.44594300944783322</v>
      </c>
      <c r="H65" s="483">
        <v>0.92559635092127723</v>
      </c>
      <c r="I65" s="482">
        <v>9.1611074556867914E-2</v>
      </c>
      <c r="J65" s="482">
        <v>0.43163752988334719</v>
      </c>
      <c r="K65" s="482">
        <v>5.7771999999999997E-2</v>
      </c>
      <c r="L65" s="482">
        <v>0.65657493132052214</v>
      </c>
      <c r="M65" s="482">
        <v>5.976992767703071E-2</v>
      </c>
      <c r="N65" s="483">
        <v>0.41147767139278052</v>
      </c>
      <c r="O65" s="483">
        <v>2.0824973941586102</v>
      </c>
      <c r="P65" s="483">
        <v>14.081809927678158</v>
      </c>
      <c r="Q65" s="483">
        <v>40.190930919485602</v>
      </c>
      <c r="R65" s="483">
        <v>0.55823360981663794</v>
      </c>
      <c r="S65" s="483">
        <v>49.302438688236002</v>
      </c>
      <c r="T65" s="482">
        <v>1.7091295501536428</v>
      </c>
      <c r="U65" s="482">
        <v>1.176904058012445E-2</v>
      </c>
      <c r="V65" s="482">
        <v>5.3870857610744944E-4</v>
      </c>
      <c r="W65" s="482">
        <v>-10.822207474725225</v>
      </c>
      <c r="X65" s="482">
        <v>-5.9249287091767321E-2</v>
      </c>
      <c r="Y65" s="482">
        <v>4.1713507245062049E-3</v>
      </c>
      <c r="Z65" s="482">
        <v>4.1713507245062509E-3</v>
      </c>
      <c r="AA65" s="484">
        <v>3.4394905718057055E-2</v>
      </c>
    </row>
    <row r="66" spans="1:27" s="138" customFormat="1">
      <c r="A66" s="147" t="s">
        <v>686</v>
      </c>
      <c r="B66" s="268">
        <v>312</v>
      </c>
      <c r="C66" s="482">
        <v>0.11694891050583667</v>
      </c>
      <c r="D66" s="482">
        <v>0.14919044564320283</v>
      </c>
      <c r="E66" s="482">
        <v>3.5902915745040252E-2</v>
      </c>
      <c r="F66" s="482">
        <v>0.24429216072302229</v>
      </c>
      <c r="G66" s="483">
        <v>0.59764155779294637</v>
      </c>
      <c r="H66" s="483">
        <v>0.92785109678239408</v>
      </c>
      <c r="I66" s="482">
        <v>9.1738016748848794E-2</v>
      </c>
      <c r="J66" s="482">
        <v>0.33514514204309948</v>
      </c>
      <c r="K66" s="482">
        <v>5.7771999999999997E-2</v>
      </c>
      <c r="L66" s="482">
        <v>0.46966231009457088</v>
      </c>
      <c r="M66" s="482">
        <v>6.8901732788556186E-2</v>
      </c>
      <c r="N66" s="483">
        <v>0.26929771346724918</v>
      </c>
      <c r="O66" s="483">
        <v>3.785734191005333</v>
      </c>
      <c r="P66" s="483">
        <v>15.016439100015704</v>
      </c>
      <c r="Q66" s="483">
        <v>22.456563378408056</v>
      </c>
      <c r="R66" s="483">
        <v>0.92655850294691422</v>
      </c>
      <c r="S66" s="483">
        <v>35.032230537891039</v>
      </c>
      <c r="T66" s="482">
        <v>1.16940909728276</v>
      </c>
      <c r="U66" s="482">
        <v>9.1046384678958536E-2</v>
      </c>
      <c r="V66" s="482">
        <v>7.0624908128349401E-2</v>
      </c>
      <c r="W66" s="482">
        <v>0.65753864240174598</v>
      </c>
      <c r="X66" s="482">
        <v>3.4447641360007497E-2</v>
      </c>
      <c r="Y66" s="482">
        <v>0.6377464769662482</v>
      </c>
      <c r="Z66" s="482">
        <v>0.6377464769662482</v>
      </c>
      <c r="AA66" s="484">
        <v>0.15605853335528269</v>
      </c>
    </row>
    <row r="67" spans="1:27" s="138" customFormat="1">
      <c r="A67" s="147" t="s">
        <v>687</v>
      </c>
      <c r="B67" s="268">
        <v>752</v>
      </c>
      <c r="C67" s="482">
        <v>0.10695155080213904</v>
      </c>
      <c r="D67" s="482">
        <v>0.1739870542804467</v>
      </c>
      <c r="E67" s="482">
        <v>4.1946102090034937E-2</v>
      </c>
      <c r="F67" s="482">
        <v>0.18844592797918353</v>
      </c>
      <c r="G67" s="483">
        <v>0.51412438207002753</v>
      </c>
      <c r="H67" s="483">
        <v>0.78176159786615251</v>
      </c>
      <c r="I67" s="482">
        <v>8.351317795986439E-2</v>
      </c>
      <c r="J67" s="482">
        <v>0.36270617463212179</v>
      </c>
      <c r="K67" s="482">
        <v>5.7771999999999997E-2</v>
      </c>
      <c r="L67" s="482">
        <v>0.4520618604805629</v>
      </c>
      <c r="M67" s="482">
        <v>6.5250812593572433E-2</v>
      </c>
      <c r="N67" s="483">
        <v>0.27725111261548063</v>
      </c>
      <c r="O67" s="483">
        <v>4.1492716203925744</v>
      </c>
      <c r="P67" s="483">
        <v>18.464484335420039</v>
      </c>
      <c r="Q67" s="483">
        <v>22.198187805969134</v>
      </c>
      <c r="R67" s="483">
        <v>0.99483456148921157</v>
      </c>
      <c r="S67" s="483">
        <v>65.409121094722053</v>
      </c>
      <c r="T67" s="482">
        <v>0.1846724797349471</v>
      </c>
      <c r="U67" s="482">
        <v>2.0854115735940516E-2</v>
      </c>
      <c r="V67" s="482">
        <v>2.2549931520130528E-2</v>
      </c>
      <c r="W67" s="482">
        <v>0.25892106215383281</v>
      </c>
      <c r="X67" s="482">
        <v>5.0166158229258906E-2</v>
      </c>
      <c r="Y67" s="482">
        <v>0.47241125968232539</v>
      </c>
      <c r="Z67" s="482">
        <v>0.47241125968232534</v>
      </c>
      <c r="AA67" s="484">
        <v>0.17730642613549494</v>
      </c>
    </row>
    <row r="68" spans="1:27" s="138" customFormat="1">
      <c r="A68" s="147" t="s">
        <v>688</v>
      </c>
      <c r="B68" s="268">
        <v>332</v>
      </c>
      <c r="C68" s="482">
        <v>8.771458498023714E-2</v>
      </c>
      <c r="D68" s="482">
        <v>0.10516876898050176</v>
      </c>
      <c r="E68" s="482">
        <v>9.5302906582474409E-2</v>
      </c>
      <c r="F68" s="482">
        <v>0.26192418019384101</v>
      </c>
      <c r="G68" s="483">
        <v>0.88997056561654864</v>
      </c>
      <c r="H68" s="483">
        <v>1.0063798615892963</v>
      </c>
      <c r="I68" s="482">
        <v>9.6159186207477376E-2</v>
      </c>
      <c r="J68" s="482">
        <v>0.3887640144142781</v>
      </c>
      <c r="K68" s="482">
        <v>5.7771999999999997E-2</v>
      </c>
      <c r="L68" s="482">
        <v>0.25019304053805952</v>
      </c>
      <c r="M68" s="482">
        <v>8.2887960924386286E-2</v>
      </c>
      <c r="N68" s="483">
        <v>1.2055644629677227</v>
      </c>
      <c r="O68" s="483">
        <v>2.0375794169216057</v>
      </c>
      <c r="P68" s="483">
        <v>11.441176119853257</v>
      </c>
      <c r="Q68" s="483">
        <v>19.905470428537026</v>
      </c>
      <c r="R68" s="483">
        <v>2.6407010762200929</v>
      </c>
      <c r="S68" s="483">
        <v>518.47650501095643</v>
      </c>
      <c r="T68" s="482">
        <v>0.13862344793418113</v>
      </c>
      <c r="U68" s="482">
        <v>5.9713371754917741E-2</v>
      </c>
      <c r="V68" s="482">
        <v>2.1104056259396087E-2</v>
      </c>
      <c r="W68" s="482">
        <v>0.25060632982863423</v>
      </c>
      <c r="X68" s="482">
        <v>3.8863687147947946E-2</v>
      </c>
      <c r="Y68" s="482">
        <v>1.2670250420874853</v>
      </c>
      <c r="Z68" s="482">
        <v>1.2670250420874853</v>
      </c>
      <c r="AA68" s="484">
        <v>0.10144204513587569</v>
      </c>
    </row>
    <row r="69" spans="1:27" s="138" customFormat="1">
      <c r="A69" s="147" t="s">
        <v>993</v>
      </c>
      <c r="B69" s="268">
        <v>32</v>
      </c>
      <c r="C69" s="482">
        <v>8.2747857142857151E-2</v>
      </c>
      <c r="D69" s="482">
        <v>0.13321209671350359</v>
      </c>
      <c r="E69" s="482">
        <v>0.17454384807953413</v>
      </c>
      <c r="F69" s="482">
        <v>0.22960291524446916</v>
      </c>
      <c r="G69" s="483">
        <v>0.95266774469164206</v>
      </c>
      <c r="H69" s="483">
        <v>0.98946560189037758</v>
      </c>
      <c r="I69" s="482">
        <v>9.5206913386428255E-2</v>
      </c>
      <c r="J69" s="482">
        <v>0.30571501403257012</v>
      </c>
      <c r="K69" s="482">
        <v>5.7771999999999997E-2</v>
      </c>
      <c r="L69" s="482">
        <v>0.16860362927227968</v>
      </c>
      <c r="M69" s="482">
        <v>8.6424068805583287E-2</v>
      </c>
      <c r="N69" s="483">
        <v>1.5930901689070289</v>
      </c>
      <c r="O69" s="483">
        <v>1.0504612103592934</v>
      </c>
      <c r="P69" s="483">
        <v>7.9182580691053399</v>
      </c>
      <c r="Q69" s="483">
        <v>5.3155684766650344</v>
      </c>
      <c r="R69" s="483">
        <v>1.4305703675967394</v>
      </c>
      <c r="S69" s="483">
        <v>10.897999636415635</v>
      </c>
      <c r="T69" s="482">
        <v>-0.646991351690546</v>
      </c>
      <c r="U69" s="482">
        <v>5.4662522529831431E-4</v>
      </c>
      <c r="V69" s="482">
        <v>4.4715241970813717E-2</v>
      </c>
      <c r="W69" s="482">
        <v>0.4881172152901424</v>
      </c>
      <c r="X69" s="482">
        <v>0.15646489481501322</v>
      </c>
      <c r="Y69" s="482">
        <v>0.24986839748943171</v>
      </c>
      <c r="Z69" s="482">
        <v>0.24986839748943168</v>
      </c>
      <c r="AA69" s="484">
        <v>0.13319826974938184</v>
      </c>
    </row>
    <row r="70" spans="1:27" s="138" customFormat="1">
      <c r="A70" s="147" t="s">
        <v>689</v>
      </c>
      <c r="B70" s="268">
        <v>410</v>
      </c>
      <c r="C70" s="482">
        <v>8.9047448979591839E-2</v>
      </c>
      <c r="D70" s="482">
        <v>9.5090142422774984E-2</v>
      </c>
      <c r="E70" s="482">
        <v>0.14183906093505005</v>
      </c>
      <c r="F70" s="482">
        <v>0.22960241791801708</v>
      </c>
      <c r="G70" s="483">
        <v>0.66062635647597812</v>
      </c>
      <c r="H70" s="483">
        <v>0.75470421880052851</v>
      </c>
      <c r="I70" s="482">
        <v>8.1989847518469758E-2</v>
      </c>
      <c r="J70" s="482">
        <v>0.3314076568122884</v>
      </c>
      <c r="K70" s="482">
        <v>5.7771999999999997E-2</v>
      </c>
      <c r="L70" s="482">
        <v>0.20643756890014023</v>
      </c>
      <c r="M70" s="482">
        <v>7.3964668793585001E-2</v>
      </c>
      <c r="N70" s="483">
        <v>1.9954223493321779</v>
      </c>
      <c r="O70" s="483">
        <v>2.4732234030954965</v>
      </c>
      <c r="P70" s="483">
        <v>16.596544444347053</v>
      </c>
      <c r="Q70" s="483">
        <v>27.876632058383535</v>
      </c>
      <c r="R70" s="483">
        <v>8.9562177474175435</v>
      </c>
      <c r="S70" s="483">
        <v>67.305805898554524</v>
      </c>
      <c r="T70" s="482">
        <v>-8.902963365388995E-3</v>
      </c>
      <c r="U70" s="482">
        <v>4.229238417178479E-2</v>
      </c>
      <c r="V70" s="482">
        <v>1.785883321955373E-2</v>
      </c>
      <c r="W70" s="482">
        <v>0.27267513631650975</v>
      </c>
      <c r="X70" s="482">
        <v>0.2813626967080739</v>
      </c>
      <c r="Y70" s="482">
        <v>0.6656518498202616</v>
      </c>
      <c r="Z70" s="482">
        <v>0.6656518498202616</v>
      </c>
      <c r="AA70" s="484">
        <v>8.8732213744314017E-2</v>
      </c>
    </row>
    <row r="71" spans="1:27" s="138" customFormat="1">
      <c r="A71" s="147" t="s">
        <v>690</v>
      </c>
      <c r="B71" s="268">
        <v>212</v>
      </c>
      <c r="C71" s="482">
        <v>0.10983979729729727</v>
      </c>
      <c r="D71" s="482">
        <v>5.1513672925833615E-2</v>
      </c>
      <c r="E71" s="482">
        <v>0.10474129181968908</v>
      </c>
      <c r="F71" s="482">
        <v>0.23394125799520671</v>
      </c>
      <c r="G71" s="483">
        <v>0.62980563451829075</v>
      </c>
      <c r="H71" s="483">
        <v>0.83455337838450927</v>
      </c>
      <c r="I71" s="482">
        <v>8.648535520304787E-2</v>
      </c>
      <c r="J71" s="482">
        <v>0.37070271542838268</v>
      </c>
      <c r="K71" s="482">
        <v>5.7771999999999997E-2</v>
      </c>
      <c r="L71" s="482">
        <v>0.3453292235973775</v>
      </c>
      <c r="M71" s="482">
        <v>7.1508388235835746E-2</v>
      </c>
      <c r="N71" s="483">
        <v>2.5373197222372315</v>
      </c>
      <c r="O71" s="483">
        <v>0.87790240773035544</v>
      </c>
      <c r="P71" s="483">
        <v>12.282330260020291</v>
      </c>
      <c r="Q71" s="483">
        <v>17.56290961731483</v>
      </c>
      <c r="R71" s="483">
        <v>3.1904742218859665</v>
      </c>
      <c r="S71" s="483">
        <v>238.003934271649</v>
      </c>
      <c r="T71" s="482">
        <v>0.10320512510493429</v>
      </c>
      <c r="U71" s="482">
        <v>2.421797216479497E-2</v>
      </c>
      <c r="V71" s="482">
        <v>1.8317826459064424E-2</v>
      </c>
      <c r="W71" s="482">
        <v>0.39696619317949527</v>
      </c>
      <c r="X71" s="482">
        <v>0.1271849593303982</v>
      </c>
      <c r="Y71" s="482">
        <v>0.41461232163471651</v>
      </c>
      <c r="Z71" s="482">
        <v>0.41461232163471651</v>
      </c>
      <c r="AA71" s="484">
        <v>4.9726733966892804E-2</v>
      </c>
    </row>
    <row r="72" spans="1:27" s="138" customFormat="1">
      <c r="A72" s="147" t="s">
        <v>691</v>
      </c>
      <c r="B72" s="268">
        <v>121</v>
      </c>
      <c r="C72" s="482">
        <v>4.3941590909090909E-2</v>
      </c>
      <c r="D72" s="482">
        <v>0.10590048288020613</v>
      </c>
      <c r="E72" s="482">
        <v>0.23141477875102603</v>
      </c>
      <c r="F72" s="482">
        <v>0.24661713540460803</v>
      </c>
      <c r="G72" s="483">
        <v>0.80465412614414389</v>
      </c>
      <c r="H72" s="483">
        <v>0.94488862631815718</v>
      </c>
      <c r="I72" s="482">
        <v>9.269722966171226E-2</v>
      </c>
      <c r="J72" s="482">
        <v>0.3431839495105764</v>
      </c>
      <c r="K72" s="482">
        <v>5.7771999999999997E-2</v>
      </c>
      <c r="L72" s="482">
        <v>0.20604547434645848</v>
      </c>
      <c r="M72" s="482">
        <v>8.2481085824587269E-2</v>
      </c>
      <c r="N72" s="483">
        <v>2.7428269990594489</v>
      </c>
      <c r="O72" s="483">
        <v>1.909106375749557</v>
      </c>
      <c r="P72" s="483">
        <v>13.481950418489197</v>
      </c>
      <c r="Q72" s="483">
        <v>18.19498298108233</v>
      </c>
      <c r="R72" s="483">
        <v>12.670964253648238</v>
      </c>
      <c r="S72" s="483">
        <v>27.828711510513891</v>
      </c>
      <c r="T72" s="482">
        <v>9.7627404623193859E-2</v>
      </c>
      <c r="U72" s="482">
        <v>2.5463001999374128E-2</v>
      </c>
      <c r="V72" s="482">
        <v>4.3737315055559008E-2</v>
      </c>
      <c r="W72" s="482">
        <v>0.5665844485168845</v>
      </c>
      <c r="X72" s="482">
        <v>0.70776342361878386</v>
      </c>
      <c r="Y72" s="482">
        <v>0.561381963122771</v>
      </c>
      <c r="Z72" s="482">
        <v>0.561381963122771</v>
      </c>
      <c r="AA72" s="484">
        <v>0.10450992630285244</v>
      </c>
    </row>
    <row r="73" spans="1:27" s="138" customFormat="1">
      <c r="A73" s="147" t="s">
        <v>692</v>
      </c>
      <c r="B73" s="268">
        <v>1079</v>
      </c>
      <c r="C73" s="482">
        <v>0.16979288437102913</v>
      </c>
      <c r="D73" s="482">
        <v>4.7892134311251375E-2</v>
      </c>
      <c r="E73" s="482">
        <v>7.256195383239139E-2</v>
      </c>
      <c r="F73" s="482">
        <v>0.22433167763764833</v>
      </c>
      <c r="G73" s="483">
        <v>0.64278703543545312</v>
      </c>
      <c r="H73" s="483">
        <v>0.81359430388803722</v>
      </c>
      <c r="I73" s="482">
        <v>8.5305359308896489E-2</v>
      </c>
      <c r="J73" s="482">
        <v>0.38602638039912335</v>
      </c>
      <c r="K73" s="482">
        <v>5.7771999999999997E-2</v>
      </c>
      <c r="L73" s="482">
        <v>0.32585307504171479</v>
      </c>
      <c r="M73" s="482">
        <v>7.1557580368786816E-2</v>
      </c>
      <c r="N73" s="483">
        <v>1.8277619773444072</v>
      </c>
      <c r="O73" s="483">
        <v>0.97148734324016051</v>
      </c>
      <c r="P73" s="483">
        <v>14.414582844894101</v>
      </c>
      <c r="Q73" s="483">
        <v>19.444777167355095</v>
      </c>
      <c r="R73" s="483">
        <v>1.8753852412231202</v>
      </c>
      <c r="S73" s="483">
        <v>82.291693329292443</v>
      </c>
      <c r="T73" s="482">
        <v>0.15972061827940978</v>
      </c>
      <c r="U73" s="482">
        <v>2.9437901253949947E-2</v>
      </c>
      <c r="V73" s="482">
        <v>3.1827828484839248E-2</v>
      </c>
      <c r="W73" s="482">
        <v>0.99737542651475508</v>
      </c>
      <c r="X73" s="482">
        <v>0.11508742614715385</v>
      </c>
      <c r="Y73" s="482">
        <v>0.50853115787434366</v>
      </c>
      <c r="Z73" s="482">
        <v>0.50853115787434366</v>
      </c>
      <c r="AA73" s="484">
        <v>4.8279479237924298E-2</v>
      </c>
    </row>
    <row r="74" spans="1:27" s="138" customFormat="1">
      <c r="A74" s="147" t="s">
        <v>628</v>
      </c>
      <c r="B74" s="268">
        <v>252</v>
      </c>
      <c r="C74" s="482">
        <v>2.5061675126903563E-2</v>
      </c>
      <c r="D74" s="482">
        <v>6.4743400550415275E-2</v>
      </c>
      <c r="E74" s="482">
        <v>0.11723450186313795</v>
      </c>
      <c r="F74" s="482">
        <v>0.19146034970178982</v>
      </c>
      <c r="G74" s="483">
        <v>0.9372779491064982</v>
      </c>
      <c r="H74" s="483">
        <v>0.98254580406685521</v>
      </c>
      <c r="I74" s="482">
        <v>9.4817328768963954E-2</v>
      </c>
      <c r="J74" s="482">
        <v>0.3615244623466804</v>
      </c>
      <c r="K74" s="482">
        <v>5.7771999999999997E-2</v>
      </c>
      <c r="L74" s="482">
        <v>0.11539297913800715</v>
      </c>
      <c r="M74" s="482">
        <v>8.8851271133670223E-2</v>
      </c>
      <c r="N74" s="483">
        <v>2.7255166819139514</v>
      </c>
      <c r="O74" s="483">
        <v>1.9322308961706129</v>
      </c>
      <c r="P74" s="483">
        <v>17.096735631135832</v>
      </c>
      <c r="Q74" s="483">
        <v>30.665896199902637</v>
      </c>
      <c r="R74" s="483">
        <v>5.2885805159426775</v>
      </c>
      <c r="S74" s="483">
        <v>66.245768689982839</v>
      </c>
      <c r="T74" s="482">
        <v>1.2170965726520877E-2</v>
      </c>
      <c r="U74" s="482">
        <v>6.8160164199934148E-2</v>
      </c>
      <c r="V74" s="482">
        <v>3.8404265497585473E-2</v>
      </c>
      <c r="W74" s="482">
        <v>0.77463070950940549</v>
      </c>
      <c r="X74" s="482">
        <v>0.21029872160080001</v>
      </c>
      <c r="Y74" s="482">
        <v>0.1565947270144975</v>
      </c>
      <c r="Z74" s="482">
        <v>0.1565947270144975</v>
      </c>
      <c r="AA74" s="484">
        <v>6.7189951012661231E-2</v>
      </c>
    </row>
    <row r="75" spans="1:27" s="138" customFormat="1">
      <c r="A75" s="147" t="s">
        <v>693</v>
      </c>
      <c r="B75" s="268">
        <v>215</v>
      </c>
      <c r="C75" s="482">
        <v>5.5062738095238102E-2</v>
      </c>
      <c r="D75" s="482">
        <v>3.7796479891814838E-2</v>
      </c>
      <c r="E75" s="482">
        <v>0.10077396955084775</v>
      </c>
      <c r="F75" s="482">
        <v>0.25831485905571144</v>
      </c>
      <c r="G75" s="483">
        <v>0.69051686848667837</v>
      </c>
      <c r="H75" s="483">
        <v>0.8735269236418004</v>
      </c>
      <c r="I75" s="482">
        <v>8.8679565801033367E-2</v>
      </c>
      <c r="J75" s="482">
        <v>0.36190391432973257</v>
      </c>
      <c r="K75" s="482">
        <v>5.7771999999999997E-2</v>
      </c>
      <c r="L75" s="482">
        <v>0.3148862540972695</v>
      </c>
      <c r="M75" s="482">
        <v>7.4331987062668914E-2</v>
      </c>
      <c r="N75" s="483">
        <v>3.4998627235532167</v>
      </c>
      <c r="O75" s="483">
        <v>0.66773808113733657</v>
      </c>
      <c r="P75" s="483">
        <v>10.342816737252068</v>
      </c>
      <c r="Q75" s="483">
        <v>17.802840948359499</v>
      </c>
      <c r="R75" s="483">
        <v>2.5948655001517769</v>
      </c>
      <c r="S75" s="483">
        <v>62.973974095247442</v>
      </c>
      <c r="T75" s="482">
        <v>-2.6267380760902511E-2</v>
      </c>
      <c r="U75" s="482">
        <v>2.1918133525408546E-2</v>
      </c>
      <c r="V75" s="482">
        <v>2.2327245656392357E-3</v>
      </c>
      <c r="W75" s="482">
        <v>0.11000693895086246</v>
      </c>
      <c r="X75" s="482">
        <v>0.1095651748537876</v>
      </c>
      <c r="Y75" s="482">
        <v>0.53381243523094246</v>
      </c>
      <c r="Z75" s="482">
        <v>0.53381243523094246</v>
      </c>
      <c r="AA75" s="484">
        <v>3.6694028724882449E-2</v>
      </c>
    </row>
    <row r="76" spans="1:27" s="138" customFormat="1">
      <c r="A76" s="147" t="s">
        <v>861</v>
      </c>
      <c r="B76" s="268">
        <v>113</v>
      </c>
      <c r="C76" s="482">
        <v>0.1011641935483871</v>
      </c>
      <c r="D76" s="482">
        <v>0.5001563909753286</v>
      </c>
      <c r="E76" s="482">
        <v>5.0883610974584499E-2</v>
      </c>
      <c r="F76" s="482">
        <v>7.1140492042887124E-2</v>
      </c>
      <c r="G76" s="483">
        <v>0.40731020203895812</v>
      </c>
      <c r="H76" s="483">
        <v>0.6078154093364273</v>
      </c>
      <c r="I76" s="482">
        <v>7.3720007545640856E-2</v>
      </c>
      <c r="J76" s="482">
        <v>0.1781362514483556</v>
      </c>
      <c r="K76" s="482">
        <v>5.4405999999999996E-2</v>
      </c>
      <c r="L76" s="482">
        <v>0.41565794083435648</v>
      </c>
      <c r="M76" s="482">
        <v>5.9954742599764625E-2</v>
      </c>
      <c r="N76" s="483">
        <v>0.11103417495718147</v>
      </c>
      <c r="O76" s="483">
        <v>11.50206315471085</v>
      </c>
      <c r="P76" s="483">
        <v>16.763791528538736</v>
      </c>
      <c r="Q76" s="483">
        <v>21.147489264341331</v>
      </c>
      <c r="R76" s="483">
        <v>1.3298243128471734</v>
      </c>
      <c r="S76" s="483">
        <v>106.55990087693755</v>
      </c>
      <c r="T76" s="482">
        <v>1.553750689302308E-3</v>
      </c>
      <c r="U76" s="482">
        <v>3.9327592654668536E-2</v>
      </c>
      <c r="V76" s="482">
        <v>-3.5873284275734295E-2</v>
      </c>
      <c r="W76" s="482">
        <v>-7.7268602486705293E-2</v>
      </c>
      <c r="X76" s="482">
        <v>5.8307964140208134E-2</v>
      </c>
      <c r="Y76" s="482">
        <v>1.1936116517488549</v>
      </c>
      <c r="Z76" s="482">
        <v>1.1936116517488549</v>
      </c>
      <c r="AA76" s="484">
        <v>0.49183301022351711</v>
      </c>
    </row>
    <row r="77" spans="1:27" s="138" customFormat="1">
      <c r="A77" s="147" t="s">
        <v>694</v>
      </c>
      <c r="B77" s="268">
        <v>649</v>
      </c>
      <c r="C77" s="482">
        <v>8.6406143497757895E-2</v>
      </c>
      <c r="D77" s="482">
        <v>7.4083281782554022E-2</v>
      </c>
      <c r="E77" s="482">
        <v>0.17001609417625824</v>
      </c>
      <c r="F77" s="482">
        <v>0.24845197793391186</v>
      </c>
      <c r="G77" s="483">
        <v>0.90363863920391541</v>
      </c>
      <c r="H77" s="483">
        <v>0.96041593044697338</v>
      </c>
      <c r="I77" s="482">
        <v>9.3571416884164607E-2</v>
      </c>
      <c r="J77" s="482">
        <v>0.3974555854898027</v>
      </c>
      <c r="K77" s="482">
        <v>5.7771999999999997E-2</v>
      </c>
      <c r="L77" s="482">
        <v>0.15515530845596021</v>
      </c>
      <c r="M77" s="482">
        <v>8.574287375475266E-2</v>
      </c>
      <c r="N77" s="483">
        <v>2.7207010910601324</v>
      </c>
      <c r="O77" s="483">
        <v>1.4949799924145044</v>
      </c>
      <c r="P77" s="483">
        <v>13.109713328023139</v>
      </c>
      <c r="Q77" s="483">
        <v>19.337395786161547</v>
      </c>
      <c r="R77" s="483">
        <v>4.4095622954924014</v>
      </c>
      <c r="S77" s="483">
        <v>67.317167349162645</v>
      </c>
      <c r="T77" s="482">
        <v>7.3455160669983505E-2</v>
      </c>
      <c r="U77" s="482">
        <v>2.529875401398797E-2</v>
      </c>
      <c r="V77" s="482">
        <v>3.1325848780055414E-3</v>
      </c>
      <c r="W77" s="482">
        <v>0.19406407845405152</v>
      </c>
      <c r="X77" s="482">
        <v>0.16570395097706253</v>
      </c>
      <c r="Y77" s="482">
        <v>0.38294353167851108</v>
      </c>
      <c r="Z77" s="482">
        <v>0.38294353167851103</v>
      </c>
      <c r="AA77" s="484">
        <v>7.5951421279681589E-2</v>
      </c>
    </row>
    <row r="78" spans="1:27" s="138" customFormat="1">
      <c r="A78" s="147" t="s">
        <v>695</v>
      </c>
      <c r="B78" s="268">
        <v>91</v>
      </c>
      <c r="C78" s="482">
        <v>9.2108481012658283E-2</v>
      </c>
      <c r="D78" s="482">
        <v>7.3049578575427834E-2</v>
      </c>
      <c r="E78" s="482">
        <v>8.2762656267239262E-2</v>
      </c>
      <c r="F78" s="482">
        <v>0.28134854681280763</v>
      </c>
      <c r="G78" s="483">
        <v>0.78074674150511325</v>
      </c>
      <c r="H78" s="483">
        <v>0.94075973310406935</v>
      </c>
      <c r="I78" s="482">
        <v>9.2464772973759102E-2</v>
      </c>
      <c r="J78" s="482">
        <v>0.30131181809879704</v>
      </c>
      <c r="K78" s="482">
        <v>5.7771999999999997E-2</v>
      </c>
      <c r="L78" s="482">
        <v>0.30613703903286077</v>
      </c>
      <c r="M78" s="482">
        <v>7.73570541736113E-2</v>
      </c>
      <c r="N78" s="483">
        <v>1.451849529929093</v>
      </c>
      <c r="O78" s="483">
        <v>0.89908406620308279</v>
      </c>
      <c r="P78" s="483">
        <v>6.8176847596424777</v>
      </c>
      <c r="Q78" s="483">
        <v>12.123346855141962</v>
      </c>
      <c r="R78" s="483">
        <v>1.2654087599913411</v>
      </c>
      <c r="S78" s="483">
        <v>26.607247683913144</v>
      </c>
      <c r="T78" s="482">
        <v>0.21174000335610399</v>
      </c>
      <c r="U78" s="482">
        <v>6.3403700658958909E-2</v>
      </c>
      <c r="V78" s="482">
        <v>3.2857263952437564E-2</v>
      </c>
      <c r="W78" s="482">
        <v>0.89124050501623553</v>
      </c>
      <c r="X78" s="482">
        <v>6.0494329687034554E-2</v>
      </c>
      <c r="Y78" s="482">
        <v>0.68304831861159965</v>
      </c>
      <c r="Z78" s="482">
        <v>0.68304831861159965</v>
      </c>
      <c r="AA78" s="484">
        <v>7.9624872176099787E-2</v>
      </c>
    </row>
    <row r="79" spans="1:27" s="138" customFormat="1">
      <c r="A79" s="147" t="s">
        <v>696</v>
      </c>
      <c r="B79" s="268">
        <v>675</v>
      </c>
      <c r="C79" s="482">
        <v>7.8109138655462221E-2</v>
      </c>
      <c r="D79" s="482">
        <v>0.26990378522336878</v>
      </c>
      <c r="E79" s="482">
        <v>0.20536358786097239</v>
      </c>
      <c r="F79" s="482">
        <v>0.16083227330952629</v>
      </c>
      <c r="G79" s="483">
        <v>1.8688970322549403</v>
      </c>
      <c r="H79" s="483">
        <v>1.8767658886551528</v>
      </c>
      <c r="I79" s="482">
        <v>0.1451619195312851</v>
      </c>
      <c r="J79" s="482">
        <v>0.45081257386937451</v>
      </c>
      <c r="K79" s="482">
        <v>6.0012999999999997E-2</v>
      </c>
      <c r="L79" s="482">
        <v>3.9618601280872606E-2</v>
      </c>
      <c r="M79" s="482">
        <v>0.14118523342407169</v>
      </c>
      <c r="N79" s="483">
        <v>1.1093275565924048</v>
      </c>
      <c r="O79" s="483">
        <v>10.621894238291468</v>
      </c>
      <c r="P79" s="483">
        <v>26.976543476676436</v>
      </c>
      <c r="Q79" s="483">
        <v>38.242514390732232</v>
      </c>
      <c r="R79" s="483">
        <v>8.976167264269229</v>
      </c>
      <c r="S79" s="483">
        <v>192.02913151939632</v>
      </c>
      <c r="T79" s="482">
        <v>0.17616347381920058</v>
      </c>
      <c r="U79" s="482">
        <v>0.15883331617646493</v>
      </c>
      <c r="V79" s="482">
        <v>8.8747211099417272E-2</v>
      </c>
      <c r="W79" s="482">
        <v>0.58276667159328688</v>
      </c>
      <c r="X79" s="482">
        <v>0.23986102509073642</v>
      </c>
      <c r="Y79" s="482">
        <v>0.22592113553129281</v>
      </c>
      <c r="Z79" s="482">
        <v>0.22592113553129278</v>
      </c>
      <c r="AA79" s="484">
        <v>0.2808488955902988</v>
      </c>
    </row>
    <row r="80" spans="1:27" s="138" customFormat="1">
      <c r="A80" s="147" t="s">
        <v>697</v>
      </c>
      <c r="B80" s="268">
        <v>391</v>
      </c>
      <c r="C80" s="482">
        <v>0.11085405693950171</v>
      </c>
      <c r="D80" s="482">
        <v>0.20279909591635439</v>
      </c>
      <c r="E80" s="482">
        <v>0.17156324390987804</v>
      </c>
      <c r="F80" s="482">
        <v>0.19098339781324108</v>
      </c>
      <c r="G80" s="483">
        <v>2.1172515658371309</v>
      </c>
      <c r="H80" s="483">
        <v>2.1257667102617472</v>
      </c>
      <c r="I80" s="482">
        <v>0.15918066578773638</v>
      </c>
      <c r="J80" s="482">
        <v>0.45989117855201983</v>
      </c>
      <c r="K80" s="482">
        <v>6.0012999999999997E-2</v>
      </c>
      <c r="L80" s="482">
        <v>5.3111712924210255E-2</v>
      </c>
      <c r="M80" s="482">
        <v>0.15310505952918138</v>
      </c>
      <c r="N80" s="483">
        <v>1.2337754870700348</v>
      </c>
      <c r="O80" s="483">
        <v>6.9400795375132756</v>
      </c>
      <c r="P80" s="483">
        <v>25.66213960211013</v>
      </c>
      <c r="Q80" s="483">
        <v>32.99726451885536</v>
      </c>
      <c r="R80" s="483">
        <v>7.1840343028563023</v>
      </c>
      <c r="S80" s="483">
        <v>117.91212715422344</v>
      </c>
      <c r="T80" s="482">
        <v>0.30599775500330867</v>
      </c>
      <c r="U80" s="482">
        <v>8.5202637853746779E-2</v>
      </c>
      <c r="V80" s="482">
        <v>5.6182382296095429E-2</v>
      </c>
      <c r="W80" s="482">
        <v>0.48926317011342724</v>
      </c>
      <c r="X80" s="482">
        <v>0.19715312723710124</v>
      </c>
      <c r="Y80" s="482">
        <v>0.31161638515488421</v>
      </c>
      <c r="Z80" s="482">
        <v>0.31161638515488421</v>
      </c>
      <c r="AA80" s="484">
        <v>0.20979648696253736</v>
      </c>
    </row>
    <row r="81" spans="1:27" s="138" customFormat="1">
      <c r="A81" s="147" t="s">
        <v>698</v>
      </c>
      <c r="B81" s="268">
        <v>359</v>
      </c>
      <c r="C81" s="482">
        <v>9.747634408602146E-2</v>
      </c>
      <c r="D81" s="482">
        <v>0.1434449122081565</v>
      </c>
      <c r="E81" s="482">
        <v>8.8414087063459476E-2</v>
      </c>
      <c r="F81" s="482">
        <v>0.14020602328652887</v>
      </c>
      <c r="G81" s="483">
        <v>0.78712481137007473</v>
      </c>
      <c r="H81" s="483">
        <v>0.87439896476446011</v>
      </c>
      <c r="I81" s="482">
        <v>8.872866171623911E-2</v>
      </c>
      <c r="J81" s="482">
        <v>0.33781140926852876</v>
      </c>
      <c r="K81" s="482">
        <v>5.7771999999999997E-2</v>
      </c>
      <c r="L81" s="482">
        <v>0.29425569385678269</v>
      </c>
      <c r="M81" s="482">
        <v>7.5306653719265634E-2</v>
      </c>
      <c r="N81" s="483">
        <v>0.71365532291727141</v>
      </c>
      <c r="O81" s="483">
        <v>1.616065969453053</v>
      </c>
      <c r="P81" s="483">
        <v>7.4741161546339567</v>
      </c>
      <c r="Q81" s="483">
        <v>10.974488436518177</v>
      </c>
      <c r="R81" s="483">
        <v>0.99712564025089356</v>
      </c>
      <c r="S81" s="483">
        <v>21.249340906955048</v>
      </c>
      <c r="T81" s="482">
        <v>-1.2555098111303271E-2</v>
      </c>
      <c r="U81" s="482">
        <v>0.11572716683623148</v>
      </c>
      <c r="V81" s="482">
        <v>5.8926786593525106E-2</v>
      </c>
      <c r="W81" s="482">
        <v>0.47622156965408635</v>
      </c>
      <c r="X81" s="482">
        <v>0.11400581429528672</v>
      </c>
      <c r="Y81" s="482">
        <v>0.55833898323116704</v>
      </c>
      <c r="Z81" s="482">
        <v>0.55833898323116704</v>
      </c>
      <c r="AA81" s="484">
        <v>0.14632746960728582</v>
      </c>
    </row>
    <row r="82" spans="1:27" s="138" customFormat="1">
      <c r="A82" s="147" t="s">
        <v>699</v>
      </c>
      <c r="B82" s="268">
        <v>84</v>
      </c>
      <c r="C82" s="482">
        <v>6.3837727272727282E-2</v>
      </c>
      <c r="D82" s="482">
        <v>8.8035408246908808E-2</v>
      </c>
      <c r="E82" s="482">
        <v>0.15291778945081269</v>
      </c>
      <c r="F82" s="482">
        <v>0.21447471310203817</v>
      </c>
      <c r="G82" s="483">
        <v>0.89381870498998861</v>
      </c>
      <c r="H82" s="483">
        <v>0.91837328491128123</v>
      </c>
      <c r="I82" s="482">
        <v>9.1204415940505129E-2</v>
      </c>
      <c r="J82" s="482">
        <v>0.42422280221597664</v>
      </c>
      <c r="K82" s="482">
        <v>5.7771999999999997E-2</v>
      </c>
      <c r="L82" s="482">
        <v>0.12506357037509869</v>
      </c>
      <c r="M82" s="482">
        <v>8.5190212351218125E-2</v>
      </c>
      <c r="N82" s="483">
        <v>2.1149240269271345</v>
      </c>
      <c r="O82" s="483">
        <v>1.7476230502879</v>
      </c>
      <c r="P82" s="483">
        <v>14.66784277019671</v>
      </c>
      <c r="Q82" s="483">
        <v>19.566302351169579</v>
      </c>
      <c r="R82" s="483">
        <v>3.6529125867100687</v>
      </c>
      <c r="S82" s="483">
        <v>38.533801051708444</v>
      </c>
      <c r="T82" s="482">
        <v>0.17495710741297821</v>
      </c>
      <c r="U82" s="482">
        <v>2.0262696858472571E-2</v>
      </c>
      <c r="V82" s="482">
        <v>3.354255980206194E-3</v>
      </c>
      <c r="W82" s="482">
        <v>0.15162513975049693</v>
      </c>
      <c r="X82" s="482">
        <v>0.14002258646862234</v>
      </c>
      <c r="Y82" s="482">
        <v>0.63544802334799111</v>
      </c>
      <c r="Z82" s="482">
        <v>0.63544802334799111</v>
      </c>
      <c r="AA82" s="484">
        <v>8.902140846782168E-2</v>
      </c>
    </row>
    <row r="83" spans="1:27" s="138" customFormat="1">
      <c r="A83" s="147" t="s">
        <v>700</v>
      </c>
      <c r="B83" s="268">
        <v>298</v>
      </c>
      <c r="C83" s="482">
        <v>0.16524299999999989</v>
      </c>
      <c r="D83" s="482">
        <v>0.31895272780256917</v>
      </c>
      <c r="E83" s="482">
        <v>0.22833611523325711</v>
      </c>
      <c r="F83" s="482">
        <v>0.21512423335559711</v>
      </c>
      <c r="G83" s="483">
        <v>1.2346330983114904</v>
      </c>
      <c r="H83" s="483">
        <v>1.2464073160794664</v>
      </c>
      <c r="I83" s="482">
        <v>0.10967273189527396</v>
      </c>
      <c r="J83" s="482">
        <v>0.49307474542404139</v>
      </c>
      <c r="K83" s="482">
        <v>6.0012999999999997E-2</v>
      </c>
      <c r="L83" s="482">
        <v>3.0415799123582554E-2</v>
      </c>
      <c r="M83" s="482">
        <v>0.10769920185681009</v>
      </c>
      <c r="N83" s="483">
        <v>1.1502024318816668</v>
      </c>
      <c r="O83" s="483">
        <v>8.3289911362135136</v>
      </c>
      <c r="P83" s="483">
        <v>21.428811741093899</v>
      </c>
      <c r="Q83" s="483">
        <v>26.066702546734756</v>
      </c>
      <c r="R83" s="483">
        <v>7.2948091820436067</v>
      </c>
      <c r="S83" s="483">
        <v>62.428730434104082</v>
      </c>
      <c r="T83" s="482">
        <v>3.72555968313419E-2</v>
      </c>
      <c r="U83" s="482">
        <v>0.19711097590003224</v>
      </c>
      <c r="V83" s="482">
        <v>0.16626623778067279</v>
      </c>
      <c r="W83" s="482">
        <v>0.70948632804315059</v>
      </c>
      <c r="X83" s="482">
        <v>0.30979572269230765</v>
      </c>
      <c r="Y83" s="482">
        <v>0.10314754411798596</v>
      </c>
      <c r="Z83" s="482">
        <v>0.10314754411798599</v>
      </c>
      <c r="AA83" s="484">
        <v>0.33817135726612102</v>
      </c>
    </row>
    <row r="84" spans="1:27" s="138" customFormat="1">
      <c r="A84" s="147" t="s">
        <v>701</v>
      </c>
      <c r="B84" s="268">
        <v>150</v>
      </c>
      <c r="C84" s="482">
        <v>0.14073963302752299</v>
      </c>
      <c r="D84" s="482">
        <v>6.1676987589559598E-2</v>
      </c>
      <c r="E84" s="482">
        <v>5.7802124132283542E-2</v>
      </c>
      <c r="F84" s="482">
        <v>0.16174829389887491</v>
      </c>
      <c r="G84" s="483">
        <v>1.3370400063421872</v>
      </c>
      <c r="H84" s="483">
        <v>1.3921316886176907</v>
      </c>
      <c r="I84" s="482">
        <v>0.117877014069176</v>
      </c>
      <c r="J84" s="482">
        <v>0.48486345619920307</v>
      </c>
      <c r="K84" s="482">
        <v>6.0012999999999997E-2</v>
      </c>
      <c r="L84" s="482">
        <v>9.101234563085206E-2</v>
      </c>
      <c r="M84" s="482">
        <v>0.11122498432811372</v>
      </c>
      <c r="N84" s="483">
        <v>1.4006430073458966</v>
      </c>
      <c r="O84" s="483">
        <v>7.7284981236380013</v>
      </c>
      <c r="P84" s="483">
        <v>40.550718897947107</v>
      </c>
      <c r="Q84" s="483">
        <v>104.42991508872967</v>
      </c>
      <c r="R84" s="483">
        <v>10.21009456111655</v>
      </c>
      <c r="S84" s="483">
        <v>99.392655668606054</v>
      </c>
      <c r="T84" s="482">
        <v>6.8461428911249927E-2</v>
      </c>
      <c r="U84" s="482">
        <v>0.19877662984860098</v>
      </c>
      <c r="V84" s="482">
        <v>0.15240505245230862</v>
      </c>
      <c r="W84" s="482">
        <v>3.7240900774737957</v>
      </c>
      <c r="X84" s="482">
        <v>5.9994836218306924E-2</v>
      </c>
      <c r="Y84" s="482">
        <v>0.29906464071375988</v>
      </c>
      <c r="Z84" s="482">
        <v>0.29906464071375982</v>
      </c>
      <c r="AA84" s="484">
        <v>6.7727787120706734E-2</v>
      </c>
    </row>
    <row r="85" spans="1:27" s="138" customFormat="1">
      <c r="A85" s="147" t="s">
        <v>702</v>
      </c>
      <c r="B85" s="268">
        <v>1532</v>
      </c>
      <c r="C85" s="482">
        <v>0.14843520990312159</v>
      </c>
      <c r="D85" s="482">
        <v>0.2740887358861202</v>
      </c>
      <c r="E85" s="482">
        <v>0.23724516417966579</v>
      </c>
      <c r="F85" s="482">
        <v>0.18671897449396879</v>
      </c>
      <c r="G85" s="483">
        <v>1.3309502549413545</v>
      </c>
      <c r="H85" s="483">
        <v>1.3539552694451324</v>
      </c>
      <c r="I85" s="482">
        <v>0.11572768166976097</v>
      </c>
      <c r="J85" s="482">
        <v>0.50942119176410694</v>
      </c>
      <c r="K85" s="482">
        <v>6.0012999999999997E-2</v>
      </c>
      <c r="L85" s="482">
        <v>5.5138431495641453E-2</v>
      </c>
      <c r="M85" s="482">
        <v>0.1118161624549238</v>
      </c>
      <c r="N85" s="483">
        <v>1.5432136309916049</v>
      </c>
      <c r="O85" s="483">
        <v>9.912802757717099</v>
      </c>
      <c r="P85" s="483">
        <v>24.639465121107065</v>
      </c>
      <c r="Q85" s="483">
        <v>33.193396271954477</v>
      </c>
      <c r="R85" s="483">
        <v>8.1981495011442647</v>
      </c>
      <c r="S85" s="483">
        <v>87.918508947700062</v>
      </c>
      <c r="T85" s="482">
        <v>0.12412626287048049</v>
      </c>
      <c r="U85" s="482">
        <v>0.1469930588225436</v>
      </c>
      <c r="V85" s="482">
        <v>0.14935948870407542</v>
      </c>
      <c r="W85" s="482">
        <v>0.77626511609180493</v>
      </c>
      <c r="X85" s="482">
        <v>0.2367235365270739</v>
      </c>
      <c r="Y85" s="482">
        <v>0.24084951856120052</v>
      </c>
      <c r="Z85" s="482">
        <v>0.24084951856120052</v>
      </c>
      <c r="AA85" s="484">
        <v>0.28890256723888391</v>
      </c>
    </row>
    <row r="86" spans="1:27" s="138" customFormat="1">
      <c r="A86" s="147" t="s">
        <v>703</v>
      </c>
      <c r="B86" s="268">
        <v>719</v>
      </c>
      <c r="C86" s="482">
        <v>0.11385029720279716</v>
      </c>
      <c r="D86" s="482">
        <v>4.8508446900289333E-2</v>
      </c>
      <c r="E86" s="482">
        <v>5.0947063518873376E-2</v>
      </c>
      <c r="F86" s="482">
        <v>0.2550403440388771</v>
      </c>
      <c r="G86" s="483">
        <v>0.92934781469114303</v>
      </c>
      <c r="H86" s="483">
        <v>1.1288582378500207</v>
      </c>
      <c r="I86" s="482">
        <v>0.10305471879095618</v>
      </c>
      <c r="J86" s="482">
        <v>0.37695514088112825</v>
      </c>
      <c r="K86" s="482">
        <v>5.7771999999999997E-2</v>
      </c>
      <c r="L86" s="482">
        <v>0.32127721829491923</v>
      </c>
      <c r="M86" s="482">
        <v>8.3797530935548453E-2</v>
      </c>
      <c r="N86" s="483">
        <v>1.2596433723710436</v>
      </c>
      <c r="O86" s="483">
        <v>0.94913306276670106</v>
      </c>
      <c r="P86" s="483">
        <v>8.9937520275322704</v>
      </c>
      <c r="Q86" s="483">
        <v>18.369667213951505</v>
      </c>
      <c r="R86" s="483">
        <v>1.0950613948233805</v>
      </c>
      <c r="S86" s="483">
        <v>42.37550772705778</v>
      </c>
      <c r="T86" s="482">
        <v>0.14133576054102731</v>
      </c>
      <c r="U86" s="482">
        <v>6.6476799279725177E-2</v>
      </c>
      <c r="V86" s="482">
        <v>3.7505614772398659E-2</v>
      </c>
      <c r="W86" s="482">
        <v>0.96365925432487187</v>
      </c>
      <c r="X86" s="482">
        <v>3.9528855924612673E-2</v>
      </c>
      <c r="Y86" s="482">
        <v>0.87151117129458766</v>
      </c>
      <c r="Z86" s="482">
        <v>0.87151117129458766</v>
      </c>
      <c r="AA86" s="484">
        <v>4.8928943907724995E-2</v>
      </c>
    </row>
    <row r="87" spans="1:27" s="138" customFormat="1">
      <c r="A87" s="147" t="s">
        <v>704</v>
      </c>
      <c r="B87" s="268">
        <v>101</v>
      </c>
      <c r="C87" s="482">
        <v>4.9522195121951225E-2</v>
      </c>
      <c r="D87" s="482">
        <v>0.15829097545602175</v>
      </c>
      <c r="E87" s="482">
        <v>9.2936035146502671E-2</v>
      </c>
      <c r="F87" s="482">
        <v>0.19843744301475041</v>
      </c>
      <c r="G87" s="483">
        <v>0.60284208224407165</v>
      </c>
      <c r="H87" s="483">
        <v>0.78241766837198856</v>
      </c>
      <c r="I87" s="482">
        <v>8.3550114729342956E-2</v>
      </c>
      <c r="J87" s="482">
        <v>0.28264737858543865</v>
      </c>
      <c r="K87" s="482">
        <v>5.4405999999999996E-2</v>
      </c>
      <c r="L87" s="482">
        <v>0.33318894568079654</v>
      </c>
      <c r="M87" s="482">
        <v>6.9240676757414424E-2</v>
      </c>
      <c r="N87" s="483">
        <v>0.7158335256276035</v>
      </c>
      <c r="O87" s="483">
        <v>2.6071893791295442</v>
      </c>
      <c r="P87" s="483">
        <v>8.424129392830098</v>
      </c>
      <c r="Q87" s="483">
        <v>16.524688335616098</v>
      </c>
      <c r="R87" s="483">
        <v>1.8461204951794217</v>
      </c>
      <c r="S87" s="483">
        <v>47.840776326784088</v>
      </c>
      <c r="T87" s="482">
        <v>-0.134664697853598</v>
      </c>
      <c r="U87" s="482">
        <v>0.13474069096085226</v>
      </c>
      <c r="V87" s="482">
        <v>3.3282017451580777E-2</v>
      </c>
      <c r="W87" s="482">
        <v>0.47240882307787058</v>
      </c>
      <c r="X87" s="482">
        <v>0.13452867806144464</v>
      </c>
      <c r="Y87" s="482">
        <v>0.54432953642961768</v>
      </c>
      <c r="Z87" s="482">
        <v>0.54432953642961768</v>
      </c>
      <c r="AA87" s="484">
        <v>0.16058338459234126</v>
      </c>
    </row>
    <row r="88" spans="1:27" s="138" customFormat="1">
      <c r="A88" s="147" t="s">
        <v>705</v>
      </c>
      <c r="B88" s="268">
        <v>437</v>
      </c>
      <c r="C88" s="482">
        <v>5.152247956403265E-2</v>
      </c>
      <c r="D88" s="482">
        <v>0.11027127992170961</v>
      </c>
      <c r="E88" s="482">
        <v>0.12728086404035685</v>
      </c>
      <c r="F88" s="482">
        <v>0.17645146991211091</v>
      </c>
      <c r="G88" s="483">
        <v>1.2979321307103502</v>
      </c>
      <c r="H88" s="483">
        <v>1.3279185095980879</v>
      </c>
      <c r="I88" s="482">
        <v>0.11426181209037234</v>
      </c>
      <c r="J88" s="482">
        <v>0.46965569844569227</v>
      </c>
      <c r="K88" s="482">
        <v>6.0012999999999997E-2</v>
      </c>
      <c r="L88" s="482">
        <v>8.7798800782948341E-2</v>
      </c>
      <c r="M88" s="482">
        <v>0.10816206853019525</v>
      </c>
      <c r="N88" s="483">
        <v>2.0507378972478341</v>
      </c>
      <c r="O88" s="483">
        <v>4.1060007355861634</v>
      </c>
      <c r="P88" s="483">
        <v>24.950975209490192</v>
      </c>
      <c r="Q88" s="483">
        <v>34.433938109865089</v>
      </c>
      <c r="R88" s="483">
        <v>5.889119684088354</v>
      </c>
      <c r="S88" s="483">
        <v>125.45102767565331</v>
      </c>
      <c r="T88" s="482">
        <v>0.21130032459389617</v>
      </c>
      <c r="U88" s="482">
        <v>3.1177646831363034E-2</v>
      </c>
      <c r="V88" s="482">
        <v>4.1861773543608843E-2</v>
      </c>
      <c r="W88" s="482">
        <v>0.54163443956988022</v>
      </c>
      <c r="X88" s="482">
        <v>0.14062262992428004</v>
      </c>
      <c r="Y88" s="482">
        <v>0.49516044131315823</v>
      </c>
      <c r="Z88" s="482">
        <v>0.49516044131315828</v>
      </c>
      <c r="AA88" s="484">
        <v>0.11788456703683796</v>
      </c>
    </row>
    <row r="89" spans="1:27" s="138" customFormat="1">
      <c r="A89" s="147" t="s">
        <v>706</v>
      </c>
      <c r="B89" s="268">
        <v>283</v>
      </c>
      <c r="C89" s="482">
        <v>7.2761635514018708E-2</v>
      </c>
      <c r="D89" s="482">
        <v>0.16092618869846106</v>
      </c>
      <c r="E89" s="482">
        <v>9.8727086369280195E-2</v>
      </c>
      <c r="F89" s="482">
        <v>0.22016888747550192</v>
      </c>
      <c r="G89" s="483">
        <v>0.49625571682046693</v>
      </c>
      <c r="H89" s="483">
        <v>0.72897777637413352</v>
      </c>
      <c r="I89" s="482">
        <v>8.0541448809863719E-2</v>
      </c>
      <c r="J89" s="482">
        <v>0.37526607498544212</v>
      </c>
      <c r="K89" s="482">
        <v>5.7771999999999997E-2</v>
      </c>
      <c r="L89" s="482">
        <v>0.42256917839223773</v>
      </c>
      <c r="M89" s="482">
        <v>6.4726288023992329E-2</v>
      </c>
      <c r="N89" s="483">
        <v>0.72583533606884887</v>
      </c>
      <c r="O89" s="483">
        <v>2.2630077844458714</v>
      </c>
      <c r="P89" s="483">
        <v>7.0540862228333863</v>
      </c>
      <c r="Q89" s="483">
        <v>13.704725917404614</v>
      </c>
      <c r="R89" s="483">
        <v>1.6221427468306726</v>
      </c>
      <c r="S89" s="483">
        <v>46.105535801573112</v>
      </c>
      <c r="T89" s="482">
        <v>7.7172520610605325E-3</v>
      </c>
      <c r="U89" s="482">
        <v>0.13995951548986796</v>
      </c>
      <c r="V89" s="482">
        <v>-1.2203596538898302E-2</v>
      </c>
      <c r="W89" s="482">
        <v>-5.1448719619532547E-2</v>
      </c>
      <c r="X89" s="482">
        <v>0.12792528413599275</v>
      </c>
      <c r="Y89" s="482">
        <v>0.59546588028237568</v>
      </c>
      <c r="Z89" s="482">
        <v>0.59546588028237568</v>
      </c>
      <c r="AA89" s="484">
        <v>0.16308241095330775</v>
      </c>
    </row>
    <row r="90" spans="1:27" s="138" customFormat="1">
      <c r="A90" s="147" t="s">
        <v>707</v>
      </c>
      <c r="B90" s="268">
        <v>48</v>
      </c>
      <c r="C90" s="482">
        <v>0.19823170731707321</v>
      </c>
      <c r="D90" s="482">
        <v>0.32668701671639694</v>
      </c>
      <c r="E90" s="482">
        <v>0.24167133409961422</v>
      </c>
      <c r="F90" s="482">
        <v>0.22065534679671747</v>
      </c>
      <c r="G90" s="483">
        <v>0.37431396504476228</v>
      </c>
      <c r="H90" s="483">
        <v>0.42727986432670712</v>
      </c>
      <c r="I90" s="482">
        <v>6.355585636159361E-2</v>
      </c>
      <c r="J90" s="482">
        <v>0.40495862196918808</v>
      </c>
      <c r="K90" s="482">
        <v>5.7771999999999997E-2</v>
      </c>
      <c r="L90" s="482">
        <v>0.19134423004720083</v>
      </c>
      <c r="M90" s="482">
        <v>5.964466305103349E-2</v>
      </c>
      <c r="N90" s="483">
        <v>0.95668281367506414</v>
      </c>
      <c r="O90" s="483">
        <v>4.4467766274789584</v>
      </c>
      <c r="P90" s="483">
        <v>11.996607921625035</v>
      </c>
      <c r="Q90" s="483">
        <v>13.573941984098196</v>
      </c>
      <c r="R90" s="483">
        <v>5.633398746074878</v>
      </c>
      <c r="S90" s="483">
        <v>20.538295543192646</v>
      </c>
      <c r="T90" s="482">
        <v>0.16161438625362154</v>
      </c>
      <c r="U90" s="482">
        <v>2.5575373678970659E-2</v>
      </c>
      <c r="V90" s="482">
        <v>-1.2118239924046219E-3</v>
      </c>
      <c r="W90" s="482">
        <v>8.0999296401351617E-2</v>
      </c>
      <c r="X90" s="482">
        <v>0.28636996854362051</v>
      </c>
      <c r="Y90" s="482">
        <v>0.89955741381705012</v>
      </c>
      <c r="Z90" s="482">
        <v>0.89955741381705012</v>
      </c>
      <c r="AA90" s="484">
        <v>0.32737040470440082</v>
      </c>
    </row>
    <row r="91" spans="1:27" s="138" customFormat="1">
      <c r="A91" s="147" t="s">
        <v>708</v>
      </c>
      <c r="B91" s="268">
        <v>451</v>
      </c>
      <c r="C91" s="482">
        <v>8.4207133757961752E-2</v>
      </c>
      <c r="D91" s="482">
        <v>7.2140585099805921E-2</v>
      </c>
      <c r="E91" s="482">
        <v>8.6620383576458002E-2</v>
      </c>
      <c r="F91" s="482">
        <v>0.21076519411854697</v>
      </c>
      <c r="G91" s="483">
        <v>0.7474630967654462</v>
      </c>
      <c r="H91" s="483">
        <v>0.96386273937396372</v>
      </c>
      <c r="I91" s="482">
        <v>9.376547222675416E-2</v>
      </c>
      <c r="J91" s="482">
        <v>0.3685923699078531</v>
      </c>
      <c r="K91" s="482">
        <v>5.7771999999999997E-2</v>
      </c>
      <c r="L91" s="482">
        <v>0.34840612800722515</v>
      </c>
      <c r="M91" s="482">
        <v>7.6118622188226029E-2</v>
      </c>
      <c r="N91" s="483">
        <v>1.4750420379334863</v>
      </c>
      <c r="O91" s="483">
        <v>1.318488523602003</v>
      </c>
      <c r="P91" s="483">
        <v>11.1838533241064</v>
      </c>
      <c r="Q91" s="483">
        <v>17.935603791439455</v>
      </c>
      <c r="R91" s="483">
        <v>2.0810129745519816</v>
      </c>
      <c r="S91" s="483">
        <v>66.792438527673312</v>
      </c>
      <c r="T91" s="482">
        <v>4.8244550006211223E-2</v>
      </c>
      <c r="U91" s="482">
        <v>4.3124210861135125E-2</v>
      </c>
      <c r="V91" s="482">
        <v>2.3598895403131686E-2</v>
      </c>
      <c r="W91" s="482">
        <v>0.50791727673790621</v>
      </c>
      <c r="X91" s="482">
        <v>0.14032746783149036</v>
      </c>
      <c r="Y91" s="482">
        <v>0.47099993906358417</v>
      </c>
      <c r="Z91" s="482">
        <v>0.47099993906358417</v>
      </c>
      <c r="AA91" s="484">
        <v>7.3077640206510378E-2</v>
      </c>
    </row>
    <row r="92" spans="1:27" s="138" customFormat="1">
      <c r="A92" s="147" t="s">
        <v>709</v>
      </c>
      <c r="B92" s="268">
        <v>54</v>
      </c>
      <c r="C92" s="482">
        <v>6.6650869565217374E-2</v>
      </c>
      <c r="D92" s="482">
        <v>0.23452345889721282</v>
      </c>
      <c r="E92" s="482">
        <v>7.7867281055734497E-2</v>
      </c>
      <c r="F92" s="482">
        <v>0.24701477468037444</v>
      </c>
      <c r="G92" s="483">
        <v>0.5543601703442842</v>
      </c>
      <c r="H92" s="483">
        <v>0.71997893173936756</v>
      </c>
      <c r="I92" s="482">
        <v>8.0034813856926401E-2</v>
      </c>
      <c r="J92" s="482">
        <v>0.22880122338730552</v>
      </c>
      <c r="K92" s="482">
        <v>5.4405999999999996E-2</v>
      </c>
      <c r="L92" s="482">
        <v>0.32176392572744972</v>
      </c>
      <c r="M92" s="482">
        <v>6.7347142276672226E-2</v>
      </c>
      <c r="N92" s="483">
        <v>0.43471152371342198</v>
      </c>
      <c r="O92" s="483">
        <v>3.7779635233455604</v>
      </c>
      <c r="P92" s="483">
        <v>10.935332135748723</v>
      </c>
      <c r="Q92" s="483">
        <v>15.895816902878812</v>
      </c>
      <c r="R92" s="483">
        <v>1.9097996184940471</v>
      </c>
      <c r="S92" s="483">
        <v>39.798597661483726</v>
      </c>
      <c r="T92" s="482">
        <v>7.2631915914827372E-2</v>
      </c>
      <c r="U92" s="482">
        <v>0.17826851236507163</v>
      </c>
      <c r="V92" s="482">
        <v>0.11106243706702104</v>
      </c>
      <c r="W92" s="482">
        <v>0.67845831067562479</v>
      </c>
      <c r="X92" s="482">
        <v>0.12306954526673132</v>
      </c>
      <c r="Y92" s="482">
        <v>0.39131116695555396</v>
      </c>
      <c r="Z92" s="482">
        <v>0.39131116695555401</v>
      </c>
      <c r="AA92" s="484">
        <v>0.23648240626075195</v>
      </c>
    </row>
    <row r="93" spans="1:27" s="138" customFormat="1">
      <c r="A93" s="147" t="s">
        <v>710</v>
      </c>
      <c r="B93" s="268">
        <v>130</v>
      </c>
      <c r="C93" s="482">
        <v>7.8909069767441886E-2</v>
      </c>
      <c r="D93" s="482">
        <v>7.4452779699400229E-2</v>
      </c>
      <c r="E93" s="482">
        <v>8.4354750761050465E-2</v>
      </c>
      <c r="F93" s="482">
        <v>0.26101570775386723</v>
      </c>
      <c r="G93" s="483">
        <v>0.67724637948871769</v>
      </c>
      <c r="H93" s="483">
        <v>0.84978078210214791</v>
      </c>
      <c r="I93" s="482">
        <v>8.7342658032350931E-2</v>
      </c>
      <c r="J93" s="482">
        <v>0.38328522612857158</v>
      </c>
      <c r="K93" s="482">
        <v>5.7771999999999997E-2</v>
      </c>
      <c r="L93" s="482">
        <v>0.28507348943543126</v>
      </c>
      <c r="M93" s="482">
        <v>7.4734594671413704E-2</v>
      </c>
      <c r="N93" s="483">
        <v>1.3690068720198663</v>
      </c>
      <c r="O93" s="483">
        <v>1.5056926980189795</v>
      </c>
      <c r="P93" s="483">
        <v>9.6121064725812086</v>
      </c>
      <c r="Q93" s="483">
        <v>19.425430733092426</v>
      </c>
      <c r="R93" s="483">
        <v>2.3734388878078008</v>
      </c>
      <c r="S93" s="483">
        <v>29.300891562235442</v>
      </c>
      <c r="T93" s="482">
        <v>6.9966509524911347E-2</v>
      </c>
      <c r="U93" s="482">
        <v>9.6975945845069189E-2</v>
      </c>
      <c r="V93" s="482">
        <v>3.7112836965233209E-2</v>
      </c>
      <c r="W93" s="482">
        <v>0.68703810542734434</v>
      </c>
      <c r="X93" s="482">
        <v>7.1996588913139065E-2</v>
      </c>
      <c r="Y93" s="482">
        <v>0.37607118929337313</v>
      </c>
      <c r="Z93" s="482">
        <v>0.37607118929337313</v>
      </c>
      <c r="AA93" s="484">
        <v>7.7367615432595571E-2</v>
      </c>
    </row>
    <row r="94" spans="1:27" s="138" customFormat="1">
      <c r="A94" s="147" t="s">
        <v>711</v>
      </c>
      <c r="B94" s="268">
        <v>52</v>
      </c>
      <c r="C94" s="482">
        <v>7.5347826086956532E-2</v>
      </c>
      <c r="D94" s="482">
        <v>0.15224062619868245</v>
      </c>
      <c r="E94" s="482">
        <v>7.9913372823051401E-2</v>
      </c>
      <c r="F94" s="482">
        <v>0.20715567011218916</v>
      </c>
      <c r="G94" s="483">
        <v>0.33438061851240469</v>
      </c>
      <c r="H94" s="483">
        <v>0.50385911874752287</v>
      </c>
      <c r="I94" s="482">
        <v>6.7867268385485541E-2</v>
      </c>
      <c r="J94" s="482">
        <v>0.20733122619958461</v>
      </c>
      <c r="K94" s="482">
        <v>5.4405999999999996E-2</v>
      </c>
      <c r="L94" s="482">
        <v>0.43255392146383476</v>
      </c>
      <c r="M94" s="482">
        <v>5.6074087738666983E-2</v>
      </c>
      <c r="N94" s="483">
        <v>0.64778820087778599</v>
      </c>
      <c r="O94" s="483">
        <v>2.5437913210545902</v>
      </c>
      <c r="P94" s="483">
        <v>10.79665716175252</v>
      </c>
      <c r="Q94" s="483">
        <v>16.773227155523529</v>
      </c>
      <c r="R94" s="483">
        <v>1.7208381882841368</v>
      </c>
      <c r="S94" s="483">
        <v>27.255534409961228</v>
      </c>
      <c r="T94" s="482">
        <v>2.1962998125860753E-2</v>
      </c>
      <c r="U94" s="482">
        <v>0.20901852133031446</v>
      </c>
      <c r="V94" s="482">
        <v>0.12907271285588304</v>
      </c>
      <c r="W94" s="482">
        <v>1.0460406720455382</v>
      </c>
      <c r="X94" s="482">
        <v>0.10552593786447673</v>
      </c>
      <c r="Y94" s="482">
        <v>0.68304753510108751</v>
      </c>
      <c r="Z94" s="482">
        <v>0.68304753510108751</v>
      </c>
      <c r="AA94" s="484">
        <v>0.15174101655641714</v>
      </c>
    </row>
    <row r="95" spans="1:27" s="138" customFormat="1">
      <c r="A95" s="147" t="s">
        <v>712</v>
      </c>
      <c r="B95" s="268">
        <v>106</v>
      </c>
      <c r="C95" s="482">
        <v>6.0592906976744194E-2</v>
      </c>
      <c r="D95" s="482">
        <v>0.2659565753619052</v>
      </c>
      <c r="E95" s="482">
        <v>6.5303803300306842E-2</v>
      </c>
      <c r="F95" s="482">
        <v>0.21134051843654689</v>
      </c>
      <c r="G95" s="483">
        <v>0.44533853048776256</v>
      </c>
      <c r="H95" s="483">
        <v>0.70459591064512661</v>
      </c>
      <c r="I95" s="482">
        <v>7.9168749769320632E-2</v>
      </c>
      <c r="J95" s="482">
        <v>0.3348934032665305</v>
      </c>
      <c r="K95" s="482">
        <v>5.7771999999999997E-2</v>
      </c>
      <c r="L95" s="482">
        <v>0.47718403777494672</v>
      </c>
      <c r="M95" s="482">
        <v>6.1964592119500256E-2</v>
      </c>
      <c r="N95" s="483">
        <v>0.29306572173948631</v>
      </c>
      <c r="O95" s="483">
        <v>4.7625581105892252</v>
      </c>
      <c r="P95" s="483">
        <v>11.893866658724095</v>
      </c>
      <c r="Q95" s="483">
        <v>17.673806782188773</v>
      </c>
      <c r="R95" s="483">
        <v>1.4597369405259084</v>
      </c>
      <c r="S95" s="483">
        <v>30.513558260479449</v>
      </c>
      <c r="T95" s="482">
        <v>0.15374932035646036</v>
      </c>
      <c r="U95" s="482">
        <v>0.25203474513167945</v>
      </c>
      <c r="V95" s="482">
        <v>0.15418273761215107</v>
      </c>
      <c r="W95" s="482">
        <v>0.98318534653200695</v>
      </c>
      <c r="X95" s="482">
        <v>0.11858840143759804</v>
      </c>
      <c r="Y95" s="482">
        <v>0.68700156281837255</v>
      </c>
      <c r="Z95" s="482">
        <v>0.58874374230461002</v>
      </c>
      <c r="AA95" s="484">
        <v>0.26631525799011146</v>
      </c>
    </row>
    <row r="96" spans="1:27" ht="14">
      <c r="A96" s="147" t="s">
        <v>994</v>
      </c>
      <c r="B96" s="268">
        <v>48156</v>
      </c>
      <c r="C96" s="482">
        <v>0.11813410514944139</v>
      </c>
      <c r="D96" s="482">
        <v>0.10560186367959247</v>
      </c>
      <c r="E96" s="482">
        <v>6.7388302060607044E-2</v>
      </c>
      <c r="F96" s="482">
        <v>0.21772338043775774</v>
      </c>
      <c r="G96" s="483">
        <v>0.83231643458010762</v>
      </c>
      <c r="H96" s="483">
        <v>1.0402864076511034</v>
      </c>
      <c r="I96" s="482">
        <v>9.806812475075713E-2</v>
      </c>
      <c r="J96" s="482">
        <v>0.42066019786733627</v>
      </c>
      <c r="K96" s="482">
        <v>5.7771999999999997E-2</v>
      </c>
      <c r="L96" s="482">
        <v>0.33984100053767125</v>
      </c>
      <c r="M96" s="482">
        <v>7.9392882638056092E-2</v>
      </c>
      <c r="N96" s="483">
        <v>0.76148506738542088</v>
      </c>
      <c r="O96" s="483">
        <v>2.8171081882790276</v>
      </c>
      <c r="P96" s="483">
        <v>14.735093271131959</v>
      </c>
      <c r="Q96" s="483">
        <v>21.711350238108253</v>
      </c>
      <c r="R96" s="483">
        <v>2.4754291759843547</v>
      </c>
      <c r="S96" s="483">
        <v>70.466856551972327</v>
      </c>
      <c r="T96" s="482">
        <v>-1.2516555572972987</v>
      </c>
      <c r="U96" s="482">
        <v>6.3475532329585152E-2</v>
      </c>
      <c r="V96" s="482">
        <v>3.7468605120472863E-2</v>
      </c>
      <c r="W96" s="482">
        <v>0.50716098765284978</v>
      </c>
      <c r="X96" s="482">
        <v>0.11858840143759804</v>
      </c>
      <c r="Y96" s="482">
        <v>0.58874374230461002</v>
      </c>
      <c r="Z96" s="482">
        <v>0.58874374230461002</v>
      </c>
      <c r="AA96" s="484">
        <v>0.10709446118649202</v>
      </c>
    </row>
    <row r="97" spans="1:27" ht="14">
      <c r="A97" s="147" t="s">
        <v>995</v>
      </c>
      <c r="B97" s="268">
        <v>43056</v>
      </c>
      <c r="C97" s="482">
        <v>0.11344441839347491</v>
      </c>
      <c r="D97" s="482">
        <v>0.10747662336283255</v>
      </c>
      <c r="E97" s="482">
        <v>0.10623042736930534</v>
      </c>
      <c r="F97" s="482">
        <v>0.22670482731644076</v>
      </c>
      <c r="G97" s="483">
        <v>0.95536367797098987</v>
      </c>
      <c r="H97" s="483">
        <v>1.0774430100117653</v>
      </c>
      <c r="I97" s="482">
        <v>0.10016004146366239</v>
      </c>
      <c r="J97" s="482">
        <v>0.43024519907503128</v>
      </c>
      <c r="K97" s="482">
        <v>5.7771999999999997E-2</v>
      </c>
      <c r="L97" s="482">
        <v>0.20602952489399917</v>
      </c>
      <c r="M97" s="482">
        <v>8.8407128862137807E-2</v>
      </c>
      <c r="N97" s="483">
        <v>1.2214305239453918</v>
      </c>
      <c r="O97" s="483">
        <v>2.3303940540541204</v>
      </c>
      <c r="P97" s="483">
        <v>13.697248529324332</v>
      </c>
      <c r="Q97" s="483">
        <v>20.826400832535036</v>
      </c>
      <c r="R97" s="483">
        <v>2.9224212623248835</v>
      </c>
      <c r="S97" s="483">
        <v>74.106269416475783</v>
      </c>
      <c r="T97" s="482">
        <v>0.11657111679948425</v>
      </c>
      <c r="U97" s="482">
        <v>6.8727451433482162E-2</v>
      </c>
      <c r="V97" s="482">
        <v>3.8685709279844362E-2</v>
      </c>
      <c r="W97" s="482">
        <v>0.54393809331569754</v>
      </c>
      <c r="X97" s="482">
        <v>0.11519474632510589</v>
      </c>
      <c r="Y97" s="482">
        <v>0.69052366942844423</v>
      </c>
      <c r="Z97" s="482">
        <v>0.69052366942844423</v>
      </c>
      <c r="AA97" s="484">
        <v>0.10913798601068816</v>
      </c>
    </row>
  </sheetData>
  <pageMargins left="0.75" right="0.75" top="1" bottom="1" header="0.5" footer="0.5"/>
  <pageSetup orientation="portrait" horizontalDpi="4294967292" verticalDpi="429496729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V96"/>
  <sheetViews>
    <sheetView workbookViewId="0">
      <selection activeCell="D69" sqref="D69"/>
    </sheetView>
  </sheetViews>
  <sheetFormatPr baseColWidth="10" defaultRowHeight="13"/>
  <cols>
    <col min="1" max="1" width="41" customWidth="1"/>
    <col min="2" max="2" width="10.83203125" style="92"/>
    <col min="3" max="8" width="14.83203125" style="495" customWidth="1"/>
    <col min="9" max="11" width="14.83203125" style="674" customWidth="1"/>
    <col min="12" max="14" width="14.83203125" style="495" customWidth="1"/>
    <col min="15" max="17" width="14.83203125" style="674" customWidth="1"/>
    <col min="18" max="20" width="14.83203125" style="495" customWidth="1"/>
  </cols>
  <sheetData>
    <row r="1" spans="1:22" s="2" customFormat="1" ht="16">
      <c r="A1" s="343"/>
      <c r="B1" s="493"/>
      <c r="C1" s="669" t="s">
        <v>812</v>
      </c>
      <c r="D1" s="669"/>
      <c r="E1" s="669"/>
      <c r="F1" s="669" t="s">
        <v>813</v>
      </c>
      <c r="G1" s="669"/>
      <c r="H1" s="669"/>
      <c r="I1" s="658" t="s">
        <v>814</v>
      </c>
      <c r="J1" s="658"/>
      <c r="K1" s="658"/>
      <c r="L1" s="669" t="s">
        <v>533</v>
      </c>
      <c r="M1" s="669"/>
      <c r="N1" s="669"/>
      <c r="O1" s="672"/>
      <c r="P1" s="672" t="s">
        <v>446</v>
      </c>
      <c r="Q1" s="672"/>
      <c r="R1" s="669" t="s">
        <v>815</v>
      </c>
      <c r="S1" s="669"/>
      <c r="T1" s="669"/>
    </row>
    <row r="2" spans="1:22" ht="17">
      <c r="A2" s="341" t="s">
        <v>816</v>
      </c>
      <c r="B2" s="342" t="s">
        <v>817</v>
      </c>
      <c r="C2" s="670" t="s">
        <v>818</v>
      </c>
      <c r="D2" s="670" t="s">
        <v>729</v>
      </c>
      <c r="E2" s="670" t="s">
        <v>730</v>
      </c>
      <c r="F2" s="670" t="s">
        <v>818</v>
      </c>
      <c r="G2" s="670" t="s">
        <v>729</v>
      </c>
      <c r="H2" s="670" t="s">
        <v>730</v>
      </c>
      <c r="I2" s="671" t="s">
        <v>818</v>
      </c>
      <c r="J2" s="671" t="s">
        <v>729</v>
      </c>
      <c r="K2" s="671" t="s">
        <v>730</v>
      </c>
      <c r="L2" s="670" t="s">
        <v>818</v>
      </c>
      <c r="M2" s="670" t="s">
        <v>729</v>
      </c>
      <c r="N2" s="670" t="s">
        <v>730</v>
      </c>
      <c r="O2" s="671" t="s">
        <v>818</v>
      </c>
      <c r="P2" s="671" t="s">
        <v>729</v>
      </c>
      <c r="Q2" s="671" t="s">
        <v>730</v>
      </c>
      <c r="R2" s="670" t="s">
        <v>818</v>
      </c>
      <c r="S2" s="670" t="s">
        <v>729</v>
      </c>
      <c r="T2" s="670" t="s">
        <v>730</v>
      </c>
    </row>
    <row r="3" spans="1:22">
      <c r="A3" s="377" t="s">
        <v>87</v>
      </c>
      <c r="B3" s="673">
        <v>419</v>
      </c>
      <c r="C3" s="495">
        <v>1.0500000000000001E-2</v>
      </c>
      <c r="D3" s="495">
        <v>5.9300000000000012E-2</v>
      </c>
      <c r="E3" s="495">
        <v>0.158</v>
      </c>
      <c r="F3" s="495">
        <v>-6.5516190285665035E-2</v>
      </c>
      <c r="G3" s="495">
        <v>3.6951501154734417E-2</v>
      </c>
      <c r="H3" s="495">
        <v>9.7777665826628654E-2</v>
      </c>
      <c r="I3" s="674">
        <v>0.96385542168674698</v>
      </c>
      <c r="J3" s="674">
        <v>2.407550077041603</v>
      </c>
      <c r="K3" s="674">
        <v>6.0298507462686572</v>
      </c>
      <c r="L3" s="495">
        <v>8.7683683702022744E-2</v>
      </c>
      <c r="M3" s="495">
        <v>9.312686460552172E-2</v>
      </c>
      <c r="N3" s="495">
        <v>9.5025701019251119E-2</v>
      </c>
      <c r="O3" s="674">
        <v>0.56003579895172362</v>
      </c>
      <c r="P3" s="674">
        <v>1.1380437082436099</v>
      </c>
      <c r="Q3" s="674">
        <v>1.8348242625754121</v>
      </c>
      <c r="R3" s="495">
        <v>1.6105884228990591E-2</v>
      </c>
      <c r="S3" s="495">
        <v>0.115678776290631</v>
      </c>
      <c r="T3" s="495">
        <v>0.34722222222222221</v>
      </c>
      <c r="U3" s="234"/>
      <c r="V3" s="234"/>
    </row>
    <row r="4" spans="1:22">
      <c r="A4" s="377" t="s">
        <v>637</v>
      </c>
      <c r="B4" s="673">
        <v>319</v>
      </c>
      <c r="C4" s="495">
        <v>7.980000000000001E-2</v>
      </c>
      <c r="D4" s="495">
        <v>0.14299999999999999</v>
      </c>
      <c r="E4" s="495">
        <v>0.28399999999999997</v>
      </c>
      <c r="F4" s="495">
        <v>-2.898284313725491E-2</v>
      </c>
      <c r="G4" s="495">
        <v>7.1171171171171194E-2</v>
      </c>
      <c r="H4" s="495">
        <v>0.14299999999999999</v>
      </c>
      <c r="I4" s="674">
        <v>0.52196641621854156</v>
      </c>
      <c r="J4" s="674">
        <v>1.1895819935691321</v>
      </c>
      <c r="K4" s="674">
        <v>2.201332153011001</v>
      </c>
      <c r="L4" s="495">
        <v>9.0536262764857475E-2</v>
      </c>
      <c r="M4" s="495">
        <v>9.6128737708758877E-2</v>
      </c>
      <c r="N4" s="495">
        <v>9.9354712958212396E-2</v>
      </c>
      <c r="O4" s="674">
        <v>0.75929920543486529</v>
      </c>
      <c r="P4" s="674">
        <v>1.170410825233716</v>
      </c>
      <c r="Q4" s="674">
        <v>1.6706774685018619</v>
      </c>
      <c r="R4" s="495">
        <v>7.0339270621236037E-3</v>
      </c>
      <c r="S4" s="495">
        <v>5.2912702386913701E-2</v>
      </c>
      <c r="T4" s="495">
        <v>0.15941130400730971</v>
      </c>
      <c r="U4" s="234"/>
      <c r="V4" s="234"/>
    </row>
    <row r="5" spans="1:22">
      <c r="A5" s="377" t="s">
        <v>638</v>
      </c>
      <c r="B5" s="673">
        <v>150</v>
      </c>
      <c r="C5" s="495">
        <v>3.5400000000000001E-2</v>
      </c>
      <c r="D5" s="495">
        <v>6.3299999999999995E-2</v>
      </c>
      <c r="E5" s="495">
        <v>0.104</v>
      </c>
      <c r="F5" s="495">
        <v>1.6881270015801721E-2</v>
      </c>
      <c r="G5" s="495">
        <v>8.961047463175123E-2</v>
      </c>
      <c r="H5" s="495">
        <v>0.17780673989946011</v>
      </c>
      <c r="I5" s="674">
        <v>0.66490105954799339</v>
      </c>
      <c r="J5" s="674">
        <v>1.020722693083042</v>
      </c>
      <c r="K5" s="674">
        <v>2.0479378128683101</v>
      </c>
      <c r="L5" s="495">
        <v>6.8489283563307413E-2</v>
      </c>
      <c r="M5" s="495">
        <v>7.3008264917941434E-2</v>
      </c>
      <c r="N5" s="495">
        <v>8.4513317767276913E-2</v>
      </c>
      <c r="O5" s="674">
        <v>0.5607257032960421</v>
      </c>
      <c r="P5" s="674">
        <v>0.98799060067393407</v>
      </c>
      <c r="Q5" s="674">
        <v>1.33453668976657</v>
      </c>
      <c r="R5" s="495">
        <v>0.1444989134280083</v>
      </c>
      <c r="S5" s="495">
        <v>0.40188525068581099</v>
      </c>
      <c r="T5" s="495">
        <v>0.61462232203329414</v>
      </c>
      <c r="U5" s="234"/>
      <c r="V5" s="234"/>
    </row>
    <row r="6" spans="1:22">
      <c r="A6" s="377" t="s">
        <v>639</v>
      </c>
      <c r="B6" s="673">
        <v>1207</v>
      </c>
      <c r="C6" s="495">
        <v>2.3900000000000001E-2</v>
      </c>
      <c r="D6" s="495">
        <v>6.5299999999999997E-2</v>
      </c>
      <c r="E6" s="495">
        <v>0.11799999999999999</v>
      </c>
      <c r="F6" s="495">
        <v>-1.6271551724137929E-2</v>
      </c>
      <c r="G6" s="495">
        <v>3.9667250437828372E-2</v>
      </c>
      <c r="H6" s="495">
        <v>8.610443798204577E-2</v>
      </c>
      <c r="I6" s="674">
        <v>0.58473100767243191</v>
      </c>
      <c r="J6" s="674">
        <v>1.2038600723763571</v>
      </c>
      <c r="K6" s="674">
        <v>2.0410868124585821</v>
      </c>
      <c r="L6" s="495">
        <v>7.4640024622503437E-2</v>
      </c>
      <c r="M6" s="495">
        <v>8.5413022067229352E-2</v>
      </c>
      <c r="N6" s="495">
        <v>8.9427586251064894E-2</v>
      </c>
      <c r="O6" s="674">
        <v>0.1988114001885882</v>
      </c>
      <c r="P6" s="674">
        <v>0.71547838466815716</v>
      </c>
      <c r="Q6" s="674">
        <v>1.2547218940704219</v>
      </c>
      <c r="R6" s="495">
        <v>3.2099372770876891E-2</v>
      </c>
      <c r="S6" s="495">
        <v>0.1884765625</v>
      </c>
      <c r="T6" s="495">
        <v>0.46681835419036782</v>
      </c>
      <c r="U6" s="234"/>
      <c r="V6" s="234"/>
    </row>
    <row r="7" spans="1:22">
      <c r="A7" s="377" t="s">
        <v>640</v>
      </c>
      <c r="B7" s="673">
        <v>165</v>
      </c>
      <c r="C7" s="495">
        <v>1.5900000000000001E-2</v>
      </c>
      <c r="D7" s="495">
        <v>6.6900000000000001E-2</v>
      </c>
      <c r="E7" s="495">
        <v>0.186</v>
      </c>
      <c r="F7" s="495">
        <v>-0.22283515942421181</v>
      </c>
      <c r="G7" s="495">
        <v>1.8811881188118811E-2</v>
      </c>
      <c r="H7" s="495">
        <v>6.7819550991850358E-2</v>
      </c>
      <c r="I7" s="674">
        <v>0.63265450681777935</v>
      </c>
      <c r="J7" s="674">
        <v>1.4801374372635161</v>
      </c>
      <c r="K7" s="674">
        <v>2.73719165085389</v>
      </c>
      <c r="L7" s="495">
        <v>9.0843689075709944E-2</v>
      </c>
      <c r="M7" s="495">
        <v>9.7285406360210047E-2</v>
      </c>
      <c r="N7" s="495">
        <v>0.11451944961802819</v>
      </c>
      <c r="O7" s="674">
        <v>0.88581338829987821</v>
      </c>
      <c r="P7" s="674">
        <v>1.400265337216942</v>
      </c>
      <c r="Q7" s="674">
        <v>1.8609099146765511</v>
      </c>
      <c r="R7" s="495">
        <v>1.3826069078947369E-2</v>
      </c>
      <c r="S7" s="495">
        <v>0.15163608400509121</v>
      </c>
      <c r="T7" s="495">
        <v>0.47980655877121892</v>
      </c>
      <c r="U7" s="234"/>
      <c r="V7" s="234"/>
    </row>
    <row r="8" spans="1:22">
      <c r="A8" s="377" t="s">
        <v>641</v>
      </c>
      <c r="B8" s="673">
        <v>797</v>
      </c>
      <c r="C8" s="495">
        <v>1.77E-2</v>
      </c>
      <c r="D8" s="495">
        <v>7.2599999999999998E-2</v>
      </c>
      <c r="E8" s="495">
        <v>0.17599999999999999</v>
      </c>
      <c r="F8" s="495">
        <v>2.016539440203562E-2</v>
      </c>
      <c r="G8" s="495">
        <v>5.0746797141569558E-2</v>
      </c>
      <c r="H8" s="495">
        <v>9.0620014762361686E-2</v>
      </c>
      <c r="I8" s="674">
        <v>0.98257520176082191</v>
      </c>
      <c r="J8" s="674">
        <v>1.5361570247933889</v>
      </c>
      <c r="K8" s="674">
        <v>2.271920864469652</v>
      </c>
      <c r="L8" s="495">
        <v>0.10084515759115591</v>
      </c>
      <c r="M8" s="495">
        <v>0.1070632251971604</v>
      </c>
      <c r="N8" s="495">
        <v>0.1137113599274347</v>
      </c>
      <c r="O8" s="674">
        <v>0.80921021627555678</v>
      </c>
      <c r="P8" s="674">
        <v>1.3407934084753901</v>
      </c>
      <c r="Q8" s="674">
        <v>2.0768975540581698</v>
      </c>
      <c r="R8" s="495">
        <v>3.2986690836235268E-2</v>
      </c>
      <c r="S8" s="495">
        <v>0.13795278405992939</v>
      </c>
      <c r="T8" s="495">
        <v>0.40616000456143858</v>
      </c>
      <c r="U8" s="234"/>
      <c r="V8" s="234"/>
    </row>
    <row r="9" spans="1:22">
      <c r="A9" s="377" t="s">
        <v>986</v>
      </c>
      <c r="B9" s="673">
        <v>604</v>
      </c>
      <c r="C9" s="495">
        <v>2.8199999999999999E-2</v>
      </c>
      <c r="D9" s="495">
        <v>5.5800000000000002E-2</v>
      </c>
      <c r="E9" s="495">
        <v>0.11</v>
      </c>
      <c r="F9" s="495">
        <v>0</v>
      </c>
      <c r="G9" s="495">
        <v>0</v>
      </c>
      <c r="H9" s="495">
        <v>0</v>
      </c>
      <c r="I9" s="674">
        <v>0.15079021433210649</v>
      </c>
      <c r="J9" s="674">
        <v>0.28341830121835299</v>
      </c>
      <c r="K9" s="674">
        <v>0.53726307517531802</v>
      </c>
      <c r="L9" s="495">
        <v>5.7500790974091047E-2</v>
      </c>
      <c r="M9" s="495">
        <v>6.4632122749507942E-2</v>
      </c>
      <c r="N9" s="495">
        <v>8.2652948066019388E-2</v>
      </c>
      <c r="O9" s="674">
        <v>0.23366346447915681</v>
      </c>
      <c r="P9" s="674">
        <v>0.64777259970504586</v>
      </c>
      <c r="Q9" s="674">
        <v>1.1391272316896219</v>
      </c>
      <c r="R9" s="495">
        <v>0.16862933061211169</v>
      </c>
      <c r="S9" s="495">
        <v>0.42266582835586292</v>
      </c>
      <c r="T9" s="495">
        <v>0.63166666666666671</v>
      </c>
      <c r="U9" s="234"/>
      <c r="V9" s="234"/>
    </row>
    <row r="10" spans="1:22">
      <c r="A10" s="377" t="s">
        <v>987</v>
      </c>
      <c r="B10" s="673">
        <v>825</v>
      </c>
      <c r="C10" s="495">
        <v>5.3699999999999998E-2</v>
      </c>
      <c r="D10" s="495">
        <v>9.5000000000000001E-2</v>
      </c>
      <c r="E10" s="495">
        <v>0.161</v>
      </c>
      <c r="F10" s="495">
        <v>-1.0768467920650929E-4</v>
      </c>
      <c r="G10" s="495">
        <v>0</v>
      </c>
      <c r="H10" s="495">
        <v>9.121625650559712E-4</v>
      </c>
      <c r="I10" s="674">
        <v>0.17958067456700089</v>
      </c>
      <c r="J10" s="674">
        <v>0.32930190055184272</v>
      </c>
      <c r="K10" s="674">
        <v>0.59921304103428952</v>
      </c>
      <c r="L10" s="495">
        <v>5.0514582026136498E-2</v>
      </c>
      <c r="M10" s="495">
        <v>5.1755262579205867E-2</v>
      </c>
      <c r="N10" s="495">
        <v>5.2807512942791991E-2</v>
      </c>
      <c r="O10" s="674">
        <v>0.1240956931178311</v>
      </c>
      <c r="P10" s="674">
        <v>0.50403459803704886</v>
      </c>
      <c r="Q10" s="674">
        <v>0.75998532059598811</v>
      </c>
      <c r="R10" s="495">
        <v>8.7241553202218852E-2</v>
      </c>
      <c r="S10" s="495">
        <v>0.28151757369723479</v>
      </c>
      <c r="T10" s="495">
        <v>0.56644749950189277</v>
      </c>
      <c r="U10" s="234"/>
      <c r="V10" s="234"/>
    </row>
    <row r="11" spans="1:22">
      <c r="A11" s="377" t="s">
        <v>642</v>
      </c>
      <c r="B11" s="673">
        <v>217</v>
      </c>
      <c r="C11" s="495">
        <v>-1.1299999999999999E-2</v>
      </c>
      <c r="D11" s="495">
        <v>2.3199999999999998E-2</v>
      </c>
      <c r="E11" s="495">
        <v>5.7299999999999997E-2</v>
      </c>
      <c r="F11" s="495">
        <v>1.6875289754288359E-2</v>
      </c>
      <c r="G11" s="495">
        <v>9.7674418604651161E-2</v>
      </c>
      <c r="H11" s="495">
        <v>0.16863587540279271</v>
      </c>
      <c r="I11" s="674">
        <v>0.47220999119591212</v>
      </c>
      <c r="J11" s="674">
        <v>1.05840739004323</v>
      </c>
      <c r="K11" s="674">
        <v>2.124426313105559</v>
      </c>
      <c r="L11" s="495">
        <v>7.1741710534013944E-2</v>
      </c>
      <c r="M11" s="495">
        <v>7.6576061486468047E-2</v>
      </c>
      <c r="N11" s="495">
        <v>8.8699338785724752E-2</v>
      </c>
      <c r="O11" s="674">
        <v>0.17958923776757829</v>
      </c>
      <c r="P11" s="674">
        <v>0.63178585076083948</v>
      </c>
      <c r="Q11" s="674">
        <v>1.274443642395938</v>
      </c>
      <c r="R11" s="495">
        <v>9.3212732168749587E-3</v>
      </c>
      <c r="S11" s="495">
        <v>8.2903463522476059E-2</v>
      </c>
      <c r="T11" s="495">
        <v>0.31294700220622113</v>
      </c>
      <c r="U11" s="234"/>
      <c r="V11" s="234"/>
    </row>
    <row r="12" spans="1:22">
      <c r="A12" s="377" t="s">
        <v>643</v>
      </c>
      <c r="B12" s="673">
        <v>94</v>
      </c>
      <c r="C12" s="495">
        <v>2.6599999999999999E-2</v>
      </c>
      <c r="D12" s="495">
        <v>5.5E-2</v>
      </c>
      <c r="E12" s="495">
        <v>0.122</v>
      </c>
      <c r="F12" s="495">
        <v>9.5238095238095264E-3</v>
      </c>
      <c r="G12" s="495">
        <v>9.5829991980753801E-2</v>
      </c>
      <c r="H12" s="495">
        <v>0.15529945210655591</v>
      </c>
      <c r="I12" s="674">
        <v>0.96072541165999104</v>
      </c>
      <c r="J12" s="674">
        <v>1.6391532964810569</v>
      </c>
      <c r="K12" s="674">
        <v>2.5066215110218448</v>
      </c>
      <c r="L12" s="495">
        <v>6.3673947775968839E-2</v>
      </c>
      <c r="M12" s="495">
        <v>6.6612756225533032E-2</v>
      </c>
      <c r="N12" s="495">
        <v>7.4277172513427192E-2</v>
      </c>
      <c r="O12" s="674">
        <v>0.1606362561999731</v>
      </c>
      <c r="P12" s="674">
        <v>0.4339630121648182</v>
      </c>
      <c r="Q12" s="674">
        <v>0.86953896967553468</v>
      </c>
      <c r="R12" s="495">
        <v>5.3982435565741302E-3</v>
      </c>
      <c r="S12" s="495">
        <v>7.0130711501948342E-2</v>
      </c>
      <c r="T12" s="495">
        <v>0.22186356789326439</v>
      </c>
      <c r="U12" s="234"/>
      <c r="V12" s="234"/>
    </row>
    <row r="13" spans="1:22">
      <c r="A13" s="377" t="s">
        <v>644</v>
      </c>
      <c r="B13" s="673">
        <v>127</v>
      </c>
      <c r="C13" s="495">
        <v>-1.9E-2</v>
      </c>
      <c r="D13" s="495">
        <v>1.3100000000000001E-2</v>
      </c>
      <c r="E13" s="495">
        <v>3.56E-2</v>
      </c>
      <c r="F13" s="495">
        <v>-5.6000000000000001E-2</v>
      </c>
      <c r="G13" s="495">
        <v>5.9143968871595329E-2</v>
      </c>
      <c r="H13" s="495">
        <v>0.11553856694673829</v>
      </c>
      <c r="I13" s="674">
        <v>0.51487481861266793</v>
      </c>
      <c r="J13" s="674">
        <v>0.80349090855772864</v>
      </c>
      <c r="K13" s="674">
        <v>1.5222954568638729</v>
      </c>
      <c r="L13" s="495">
        <v>6.8690291722608265E-2</v>
      </c>
      <c r="M13" s="495">
        <v>7.3034300177873906E-2</v>
      </c>
      <c r="N13" s="495">
        <v>8.4330611152937301E-2</v>
      </c>
      <c r="O13" s="674">
        <v>0.4106716244305178</v>
      </c>
      <c r="P13" s="674">
        <v>0.74809420729093501</v>
      </c>
      <c r="Q13" s="674">
        <v>1.176160340766099</v>
      </c>
      <c r="R13" s="495">
        <v>4.3875073035683269E-2</v>
      </c>
      <c r="S13" s="495">
        <v>0.2239482200647249</v>
      </c>
      <c r="T13" s="495">
        <v>0.56070287539936092</v>
      </c>
      <c r="U13" s="234"/>
      <c r="V13" s="234"/>
    </row>
    <row r="14" spans="1:22">
      <c r="A14" s="377" t="s">
        <v>988</v>
      </c>
      <c r="B14" s="673">
        <v>623</v>
      </c>
      <c r="C14" s="495">
        <v>3.2099999999999997E-2</v>
      </c>
      <c r="D14" s="495">
        <v>9.2200000000000004E-2</v>
      </c>
      <c r="E14" s="495">
        <v>0.14599999999999999</v>
      </c>
      <c r="F14" s="495">
        <v>0</v>
      </c>
      <c r="G14" s="495">
        <v>0</v>
      </c>
      <c r="H14" s="495">
        <v>2.5443717200306619E-4</v>
      </c>
      <c r="I14" s="674">
        <v>9.1779728651237041E-2</v>
      </c>
      <c r="J14" s="674">
        <v>0.2388704205078995</v>
      </c>
      <c r="K14" s="674">
        <v>0.92079207920792072</v>
      </c>
      <c r="L14" s="495">
        <v>6.2557980236631394E-2</v>
      </c>
      <c r="M14" s="495">
        <v>7.1414964441814235E-2</v>
      </c>
      <c r="N14" s="495">
        <v>7.3719419526986629E-2</v>
      </c>
      <c r="O14" s="674">
        <v>0.27068040102258661</v>
      </c>
      <c r="P14" s="674">
        <v>0.85785836340539179</v>
      </c>
      <c r="Q14" s="674">
        <v>1.6737555189264459</v>
      </c>
      <c r="R14" s="495">
        <v>7.527895098141878E-3</v>
      </c>
      <c r="S14" s="495">
        <v>0.15926892950391641</v>
      </c>
      <c r="T14" s="495">
        <v>0.52159639668941538</v>
      </c>
      <c r="U14" s="234"/>
      <c r="V14" s="234"/>
    </row>
    <row r="15" spans="1:22">
      <c r="A15" s="377" t="s">
        <v>645</v>
      </c>
      <c r="B15" s="673">
        <v>469</v>
      </c>
      <c r="C15" s="495">
        <v>1.7100000000000001E-2</v>
      </c>
      <c r="D15" s="495">
        <v>5.0999999999999997E-2</v>
      </c>
      <c r="E15" s="495">
        <v>9.3599999999999989E-2</v>
      </c>
      <c r="F15" s="495">
        <v>8.7942583732057416E-3</v>
      </c>
      <c r="G15" s="495">
        <v>6.1450777202072537E-2</v>
      </c>
      <c r="H15" s="495">
        <v>0.11728802065624561</v>
      </c>
      <c r="I15" s="674">
        <v>0.77034014562594533</v>
      </c>
      <c r="J15" s="674">
        <v>1.2689867333205149</v>
      </c>
      <c r="K15" s="674">
        <v>2.1114241631448318</v>
      </c>
      <c r="L15" s="495">
        <v>8.0456457628470548E-2</v>
      </c>
      <c r="M15" s="495">
        <v>8.5332194578010695E-2</v>
      </c>
      <c r="N15" s="495">
        <v>9.9544379832505414E-2</v>
      </c>
      <c r="O15" s="674">
        <v>0.42800545027383768</v>
      </c>
      <c r="P15" s="674">
        <v>0.92780570558493958</v>
      </c>
      <c r="Q15" s="674">
        <v>1.5438869735597469</v>
      </c>
      <c r="R15" s="495">
        <v>4.1601192311225221E-2</v>
      </c>
      <c r="S15" s="495">
        <v>0.1572842998585573</v>
      </c>
      <c r="T15" s="495">
        <v>0.37375000000000003</v>
      </c>
      <c r="U15" s="234"/>
      <c r="V15" s="234"/>
    </row>
    <row r="16" spans="1:22">
      <c r="A16" s="377" t="s">
        <v>646</v>
      </c>
      <c r="B16" s="673">
        <v>994</v>
      </c>
      <c r="C16" s="495">
        <v>2.3099999999999999E-2</v>
      </c>
      <c r="D16" s="495">
        <v>6.8099999999999994E-2</v>
      </c>
      <c r="E16" s="495">
        <v>0.13300000000000001</v>
      </c>
      <c r="F16" s="495">
        <v>-3.7773359840954281E-3</v>
      </c>
      <c r="G16" s="495">
        <v>5.9620596205962058E-2</v>
      </c>
      <c r="H16" s="495">
        <v>0.1347352024922118</v>
      </c>
      <c r="I16" s="674">
        <v>0.83507722969606379</v>
      </c>
      <c r="J16" s="674">
        <v>2.329667992162781</v>
      </c>
      <c r="K16" s="674">
        <v>5.232514310760207</v>
      </c>
      <c r="L16" s="495">
        <v>7.8242797188609409E-2</v>
      </c>
      <c r="M16" s="495">
        <v>8.3221809011031642E-2</v>
      </c>
      <c r="N16" s="495">
        <v>8.5312130601355354E-2</v>
      </c>
      <c r="O16" s="674">
        <v>0.41837720537501838</v>
      </c>
      <c r="P16" s="674">
        <v>0.87401364503153534</v>
      </c>
      <c r="Q16" s="674">
        <v>1.4716578954751449</v>
      </c>
      <c r="R16" s="495">
        <v>1.5801916137862391E-2</v>
      </c>
      <c r="S16" s="495">
        <v>0.11564625850340141</v>
      </c>
      <c r="T16" s="495">
        <v>0.29891421249300509</v>
      </c>
      <c r="U16" s="234"/>
      <c r="V16" s="234"/>
    </row>
    <row r="17" spans="1:22">
      <c r="A17" s="377" t="s">
        <v>647</v>
      </c>
      <c r="B17" s="673">
        <v>42</v>
      </c>
      <c r="C17" s="495">
        <v>-8.4899999999999993E-3</v>
      </c>
      <c r="D17" s="495">
        <v>1.52E-2</v>
      </c>
      <c r="E17" s="495">
        <v>4.3899999999999988E-2</v>
      </c>
      <c r="F17" s="495">
        <v>-8.0113636363636359E-2</v>
      </c>
      <c r="G17" s="495">
        <v>1.9079808111644139E-2</v>
      </c>
      <c r="H17" s="495">
        <v>0.1755290004273943</v>
      </c>
      <c r="I17" s="674">
        <v>0.26971230195368762</v>
      </c>
      <c r="J17" s="674">
        <v>0.49173173135303522</v>
      </c>
      <c r="K17" s="674">
        <v>0.98068456652598479</v>
      </c>
      <c r="L17" s="495">
        <v>6.5849393313328564E-2</v>
      </c>
      <c r="M17" s="495">
        <v>6.9713447200504222E-2</v>
      </c>
      <c r="N17" s="495">
        <v>8.114275728113364E-2</v>
      </c>
      <c r="O17" s="674">
        <v>0.4875034344294637</v>
      </c>
      <c r="P17" s="674">
        <v>0.88117437632946094</v>
      </c>
      <c r="Q17" s="674">
        <v>1.618409826257619</v>
      </c>
      <c r="R17" s="495">
        <v>1.9904190000674719E-2</v>
      </c>
      <c r="S17" s="495">
        <v>0.23162821982315079</v>
      </c>
      <c r="T17" s="495">
        <v>0.66546508894287293</v>
      </c>
      <c r="U17" s="234"/>
      <c r="V17" s="234"/>
    </row>
    <row r="18" spans="1:22">
      <c r="A18" s="377" t="s">
        <v>606</v>
      </c>
      <c r="B18" s="673">
        <v>909</v>
      </c>
      <c r="C18" s="495">
        <v>1.8700000000000001E-2</v>
      </c>
      <c r="D18" s="495">
        <v>8.0700000000000008E-2</v>
      </c>
      <c r="E18" s="495">
        <v>0.16200000000000001</v>
      </c>
      <c r="F18" s="495">
        <v>0</v>
      </c>
      <c r="G18" s="495">
        <v>4.9208282582216809E-2</v>
      </c>
      <c r="H18" s="495">
        <v>0.1041916167664671</v>
      </c>
      <c r="I18" s="674">
        <v>0.67129629629629628</v>
      </c>
      <c r="J18" s="674">
        <v>1.0773130544993661</v>
      </c>
      <c r="K18" s="674">
        <v>1.7063743870781649</v>
      </c>
      <c r="L18" s="495">
        <v>8.67625906385944E-2</v>
      </c>
      <c r="M18" s="495">
        <v>9.020606441384324E-2</v>
      </c>
      <c r="N18" s="495">
        <v>0.105696695132534</v>
      </c>
      <c r="O18" s="674">
        <v>0.60766298851467138</v>
      </c>
      <c r="P18" s="674">
        <v>1.1918260081335601</v>
      </c>
      <c r="Q18" s="674">
        <v>1.8029579497538031</v>
      </c>
      <c r="R18" s="495">
        <v>2.8296511995948601E-2</v>
      </c>
      <c r="S18" s="495">
        <v>0.16036036036036039</v>
      </c>
      <c r="T18" s="495">
        <v>0.36956521739130438</v>
      </c>
      <c r="U18" s="234"/>
      <c r="V18" s="234"/>
    </row>
    <row r="19" spans="1:22">
      <c r="A19" s="377" t="s">
        <v>648</v>
      </c>
      <c r="B19" s="673">
        <v>63</v>
      </c>
      <c r="C19" s="495">
        <v>-8.9600000000000009E-3</v>
      </c>
      <c r="D19" s="495">
        <v>3.2599999999999997E-2</v>
      </c>
      <c r="E19" s="495">
        <v>7.9199999999999993E-2</v>
      </c>
      <c r="F19" s="495">
        <v>3.8622802773746169E-2</v>
      </c>
      <c r="G19" s="495">
        <v>7.8492935635792793E-2</v>
      </c>
      <c r="H19" s="495">
        <v>0.11297501892505681</v>
      </c>
      <c r="I19" s="674">
        <v>0.80184254403594024</v>
      </c>
      <c r="J19" s="674">
        <v>1.1301115241635691</v>
      </c>
      <c r="K19" s="674">
        <v>1.719405625754624</v>
      </c>
      <c r="L19" s="495">
        <v>7.9321673053177E-2</v>
      </c>
      <c r="M19" s="495">
        <v>8.3929267185334125E-2</v>
      </c>
      <c r="N19" s="495">
        <v>0.10089552227049629</v>
      </c>
      <c r="O19" s="674">
        <v>0.68295772126528542</v>
      </c>
      <c r="P19" s="674">
        <v>1.1417898146340271</v>
      </c>
      <c r="Q19" s="674">
        <v>1.5279665571560941</v>
      </c>
      <c r="R19" s="495">
        <v>9.9134444264682084E-2</v>
      </c>
      <c r="S19" s="495">
        <v>0.27465064614340778</v>
      </c>
      <c r="T19" s="495">
        <v>0.46966496260932022</v>
      </c>
      <c r="U19" s="234"/>
      <c r="V19" s="234"/>
    </row>
    <row r="20" spans="1:22">
      <c r="A20" s="377" t="s">
        <v>607</v>
      </c>
      <c r="B20" s="673">
        <v>952</v>
      </c>
      <c r="C20" s="495">
        <v>2.5899999999999999E-2</v>
      </c>
      <c r="D20" s="495">
        <v>8.6099999999999996E-2</v>
      </c>
      <c r="E20" s="495">
        <v>0.156</v>
      </c>
      <c r="F20" s="495">
        <v>8.9036055923473138E-3</v>
      </c>
      <c r="G20" s="495">
        <v>6.675350048844024E-2</v>
      </c>
      <c r="H20" s="495">
        <v>0.12672176308539951</v>
      </c>
      <c r="I20" s="674">
        <v>0.60092633771192416</v>
      </c>
      <c r="J20" s="674">
        <v>1.0355276907001041</v>
      </c>
      <c r="K20" s="674">
        <v>1.6278697327392111</v>
      </c>
      <c r="L20" s="495">
        <v>8.8100125821803099E-2</v>
      </c>
      <c r="M20" s="495">
        <v>9.2101369004365816E-2</v>
      </c>
      <c r="N20" s="495">
        <v>0.1093401180781898</v>
      </c>
      <c r="O20" s="674">
        <v>0.54070363112675002</v>
      </c>
      <c r="P20" s="674">
        <v>1.0808659993021801</v>
      </c>
      <c r="Q20" s="674">
        <v>1.68303354286728</v>
      </c>
      <c r="R20" s="495">
        <v>1.9454848106533501E-2</v>
      </c>
      <c r="S20" s="495">
        <v>0.13222222222222221</v>
      </c>
      <c r="T20" s="495">
        <v>0.29784903916904809</v>
      </c>
      <c r="U20" s="234"/>
      <c r="V20" s="234"/>
    </row>
    <row r="21" spans="1:22">
      <c r="A21" s="377" t="s">
        <v>649</v>
      </c>
      <c r="B21" s="673">
        <v>212</v>
      </c>
      <c r="C21" s="495">
        <v>-4.3499999999999997E-2</v>
      </c>
      <c r="D21" s="495">
        <v>6.6E-3</v>
      </c>
      <c r="E21" s="495">
        <v>0.126</v>
      </c>
      <c r="F21" s="495">
        <v>-0.21823529411764711</v>
      </c>
      <c r="G21" s="495">
        <v>3.2566371681415927E-2</v>
      </c>
      <c r="H21" s="495">
        <v>0.13473938742611499</v>
      </c>
      <c r="I21" s="674">
        <v>0</v>
      </c>
      <c r="J21" s="674">
        <v>0.50821438190142743</v>
      </c>
      <c r="K21" s="674">
        <v>1.356829802775749</v>
      </c>
      <c r="L21" s="495">
        <v>8.7426090395885753E-2</v>
      </c>
      <c r="M21" s="495">
        <v>9.0206144015764045E-2</v>
      </c>
      <c r="N21" s="495">
        <v>0.11100314422035711</v>
      </c>
      <c r="O21" s="674">
        <v>0.39821754550158878</v>
      </c>
      <c r="P21" s="674">
        <v>1.0526275007950769</v>
      </c>
      <c r="Q21" s="674">
        <v>1.7073705133582371</v>
      </c>
      <c r="R21" s="495">
        <v>3.3261307576255649E-4</v>
      </c>
      <c r="S21" s="495">
        <v>5.7086055097983528E-2</v>
      </c>
      <c r="T21" s="495">
        <v>0.22687283391095711</v>
      </c>
      <c r="U21" s="234"/>
      <c r="V21" s="234"/>
    </row>
    <row r="22" spans="1:22">
      <c r="A22" s="377" t="s">
        <v>479</v>
      </c>
      <c r="B22" s="673">
        <v>1225</v>
      </c>
      <c r="C22" s="495">
        <v>4.2199999999999988E-2</v>
      </c>
      <c r="D22" s="495">
        <v>8.2400000000000001E-2</v>
      </c>
      <c r="E22" s="495">
        <v>0.14399999999999999</v>
      </c>
      <c r="F22" s="495">
        <v>7.202216066481994E-4</v>
      </c>
      <c r="G22" s="495">
        <v>4.7945487844132863E-2</v>
      </c>
      <c r="H22" s="495">
        <v>0.1082627564925998</v>
      </c>
      <c r="I22" s="674">
        <v>1.179245283018868</v>
      </c>
      <c r="J22" s="674">
        <v>2.8054298642533939</v>
      </c>
      <c r="K22" s="674">
        <v>5.4786758127050401</v>
      </c>
      <c r="L22" s="495">
        <v>9.0609355889681081E-2</v>
      </c>
      <c r="M22" s="495">
        <v>9.3877576877990171E-2</v>
      </c>
      <c r="N22" s="495">
        <v>0.10672490269817229</v>
      </c>
      <c r="O22" s="674">
        <v>0.50203625441902311</v>
      </c>
      <c r="P22" s="674">
        <v>1.016181519571083</v>
      </c>
      <c r="Q22" s="674">
        <v>1.695689719114776</v>
      </c>
      <c r="R22" s="495">
        <v>9.1652216992816476E-3</v>
      </c>
      <c r="S22" s="495">
        <v>7.8947368421052627E-2</v>
      </c>
      <c r="T22" s="495">
        <v>0.25911854103343468</v>
      </c>
      <c r="U22" s="234"/>
      <c r="V22" s="234"/>
    </row>
    <row r="23" spans="1:22">
      <c r="A23" s="377" t="s">
        <v>650</v>
      </c>
      <c r="B23" s="673">
        <v>343</v>
      </c>
      <c r="C23" s="495">
        <v>4.2000000000000003E-2</v>
      </c>
      <c r="D23" s="495">
        <v>0.125</v>
      </c>
      <c r="E23" s="495">
        <v>0.26500000000000001</v>
      </c>
      <c r="F23" s="495">
        <v>-2.4205914567360352E-2</v>
      </c>
      <c r="G23" s="495">
        <v>3.4415584415584413E-2</v>
      </c>
      <c r="H23" s="495">
        <v>8.7863247863247854E-2</v>
      </c>
      <c r="I23" s="674">
        <v>0.75694750771945296</v>
      </c>
      <c r="J23" s="674">
        <v>1.644919786096257</v>
      </c>
      <c r="K23" s="674">
        <v>2.9496944052656322</v>
      </c>
      <c r="L23" s="495">
        <v>0.1079523845353451</v>
      </c>
      <c r="M23" s="495">
        <v>0.1117798191519105</v>
      </c>
      <c r="N23" s="495">
        <v>0.11408407947850489</v>
      </c>
      <c r="O23" s="674">
        <v>0.81908298534080315</v>
      </c>
      <c r="P23" s="674">
        <v>1.4727316668750441</v>
      </c>
      <c r="Q23" s="674">
        <v>2.077944305477136</v>
      </c>
      <c r="R23" s="495">
        <v>1.9687712152070599E-2</v>
      </c>
      <c r="S23" s="495">
        <v>9.5081967213114751E-2</v>
      </c>
      <c r="T23" s="495">
        <v>0.29542755344418048</v>
      </c>
      <c r="U23" s="234"/>
      <c r="V23" s="234"/>
    </row>
    <row r="24" spans="1:22">
      <c r="A24" s="377" t="s">
        <v>651</v>
      </c>
      <c r="B24" s="673">
        <v>804</v>
      </c>
      <c r="C24" s="495">
        <v>2.58E-2</v>
      </c>
      <c r="D24" s="495">
        <v>7.7199999999999991E-2</v>
      </c>
      <c r="E24" s="495">
        <v>0.14399999999999999</v>
      </c>
      <c r="F24" s="495">
        <v>1.2887029288702931E-2</v>
      </c>
      <c r="G24" s="495">
        <v>7.3193473193473191E-2</v>
      </c>
      <c r="H24" s="495">
        <v>0.1316239316239316</v>
      </c>
      <c r="I24" s="674">
        <v>0.58729625273063357</v>
      </c>
      <c r="J24" s="674">
        <v>1.0361202147688451</v>
      </c>
      <c r="K24" s="674">
        <v>1.7024375129105549</v>
      </c>
      <c r="L24" s="495">
        <v>8.2472127707790638E-2</v>
      </c>
      <c r="M24" s="495">
        <v>8.6480526947640413E-2</v>
      </c>
      <c r="N24" s="495">
        <v>0.1033750115356504</v>
      </c>
      <c r="O24" s="674">
        <v>0.42331578975179351</v>
      </c>
      <c r="P24" s="674">
        <v>0.97307439295367026</v>
      </c>
      <c r="Q24" s="674">
        <v>1.61321046526126</v>
      </c>
      <c r="R24" s="495">
        <v>2.898821769216383E-2</v>
      </c>
      <c r="S24" s="495">
        <v>0.1497742097340693</v>
      </c>
      <c r="T24" s="495">
        <v>0.36046511627906969</v>
      </c>
      <c r="U24" s="234"/>
      <c r="V24" s="234"/>
    </row>
    <row r="25" spans="1:22">
      <c r="A25" s="377" t="s">
        <v>652</v>
      </c>
      <c r="B25" s="673">
        <v>329</v>
      </c>
      <c r="C25" s="495">
        <v>1.06E-2</v>
      </c>
      <c r="D25" s="495">
        <v>4.3099999999999999E-2</v>
      </c>
      <c r="E25" s="495">
        <v>8.48E-2</v>
      </c>
      <c r="F25" s="495">
        <v>3.3275847445647558E-2</v>
      </c>
      <c r="G25" s="495">
        <v>9.1660586362430352E-2</v>
      </c>
      <c r="H25" s="495">
        <v>0.19704031694243759</v>
      </c>
      <c r="I25" s="674">
        <v>0.22395216336661589</v>
      </c>
      <c r="J25" s="674">
        <v>0.72441846204161742</v>
      </c>
      <c r="K25" s="674">
        <v>1.7504736918816499</v>
      </c>
      <c r="L25" s="495">
        <v>6.7867510929538299E-2</v>
      </c>
      <c r="M25" s="495">
        <v>7.3577437220390396E-2</v>
      </c>
      <c r="N25" s="495">
        <v>8.5702032567983061E-2</v>
      </c>
      <c r="O25" s="674">
        <v>0.1835478962312142</v>
      </c>
      <c r="P25" s="674">
        <v>0.7542460943088346</v>
      </c>
      <c r="Q25" s="674">
        <v>1.2089503092956411</v>
      </c>
      <c r="R25" s="495">
        <v>7.861749913617691E-2</v>
      </c>
      <c r="S25" s="495">
        <v>0.2914024854171951</v>
      </c>
      <c r="T25" s="495">
        <v>0.56872299674074456</v>
      </c>
      <c r="U25" s="234"/>
      <c r="V25" s="234"/>
    </row>
    <row r="26" spans="1:22">
      <c r="A26" s="377" t="s">
        <v>653</v>
      </c>
      <c r="B26" s="673">
        <v>1193</v>
      </c>
      <c r="C26" s="495">
        <v>1.8400000000000001E-3</v>
      </c>
      <c r="D26" s="495">
        <v>0.153</v>
      </c>
      <c r="E26" s="495">
        <v>0.54200000000000004</v>
      </c>
      <c r="F26" s="495">
        <v>-6.6052227342549923</v>
      </c>
      <c r="G26" s="495">
        <v>-1.2410721805975971</v>
      </c>
      <c r="H26" s="495">
        <v>-1.5071770334928229E-2</v>
      </c>
      <c r="I26" s="674">
        <v>4.0598040363820894E-3</v>
      </c>
      <c r="J26" s="674">
        <v>0.2446140035906641</v>
      </c>
      <c r="K26" s="674">
        <v>0.81908190819081894</v>
      </c>
      <c r="L26" s="495">
        <v>9.0393921421079479E-2</v>
      </c>
      <c r="M26" s="495">
        <v>9.1985673060543144E-2</v>
      </c>
      <c r="N26" s="495">
        <v>9.8256481347261546E-2</v>
      </c>
      <c r="O26" s="674">
        <v>0.64546498862232549</v>
      </c>
      <c r="P26" s="674">
        <v>1.1110193325072071</v>
      </c>
      <c r="Q26" s="674">
        <v>1.7399149665660849</v>
      </c>
      <c r="R26" s="495">
        <v>1.7402995994837021E-3</v>
      </c>
      <c r="S26" s="495">
        <v>3.286097801338906E-2</v>
      </c>
      <c r="T26" s="495">
        <v>0.1414260900910147</v>
      </c>
      <c r="U26" s="234"/>
      <c r="V26" s="234"/>
    </row>
    <row r="27" spans="1:22">
      <c r="A27" s="377" t="s">
        <v>654</v>
      </c>
      <c r="B27" s="673">
        <v>1260</v>
      </c>
      <c r="C27" s="495">
        <v>3.9E-2</v>
      </c>
      <c r="D27" s="495">
        <v>0.104</v>
      </c>
      <c r="E27" s="495">
        <v>0.189</v>
      </c>
      <c r="F27" s="495">
        <v>-0.1414473684210526</v>
      </c>
      <c r="G27" s="495">
        <v>5.8879846816658699E-2</v>
      </c>
      <c r="H27" s="495">
        <v>0.15482760504890439</v>
      </c>
      <c r="I27" s="674">
        <v>0.40617589182097991</v>
      </c>
      <c r="J27" s="674">
        <v>0.82019583843329258</v>
      </c>
      <c r="K27" s="674">
        <v>1.3765042497200219</v>
      </c>
      <c r="L27" s="495">
        <v>8.3851835407094316E-2</v>
      </c>
      <c r="M27" s="495">
        <v>8.9041972544377415E-2</v>
      </c>
      <c r="N27" s="495">
        <v>0.10157621456048339</v>
      </c>
      <c r="O27" s="674">
        <v>0.51499045015438272</v>
      </c>
      <c r="P27" s="674">
        <v>0.97032976042517238</v>
      </c>
      <c r="Q27" s="674">
        <v>1.5065369797466459</v>
      </c>
      <c r="R27" s="495">
        <v>4.0868213145066404E-3</v>
      </c>
      <c r="S27" s="495">
        <v>6.5998533365925205E-2</v>
      </c>
      <c r="T27" s="495">
        <v>0.2181603773584905</v>
      </c>
      <c r="U27" s="234"/>
      <c r="V27" s="234"/>
    </row>
    <row r="28" spans="1:22">
      <c r="A28" s="377" t="s">
        <v>655</v>
      </c>
      <c r="B28" s="673">
        <v>281</v>
      </c>
      <c r="C28" s="495">
        <v>3.73E-2</v>
      </c>
      <c r="D28" s="495">
        <v>7.1800000000000003E-2</v>
      </c>
      <c r="E28" s="495">
        <v>0.122</v>
      </c>
      <c r="F28" s="495">
        <v>-4.4684813465573122E-3</v>
      </c>
      <c r="G28" s="495">
        <v>0.1004016064257028</v>
      </c>
      <c r="H28" s="495">
        <v>0.2130512756412663</v>
      </c>
      <c r="I28" s="674">
        <v>0.46493756003842451</v>
      </c>
      <c r="J28" s="674">
        <v>1.147980559745265</v>
      </c>
      <c r="K28" s="674">
        <v>2.4766996262478118</v>
      </c>
      <c r="L28" s="495">
        <v>7.2766846121791157E-2</v>
      </c>
      <c r="M28" s="495">
        <v>7.686872726143873E-2</v>
      </c>
      <c r="N28" s="495">
        <v>8.8972433624213254E-2</v>
      </c>
      <c r="O28" s="674">
        <v>0.24225158407567229</v>
      </c>
      <c r="P28" s="674">
        <v>0.71152080044621568</v>
      </c>
      <c r="Q28" s="674">
        <v>1.285505901710009</v>
      </c>
      <c r="R28" s="495">
        <v>2.047522750252781E-2</v>
      </c>
      <c r="S28" s="495">
        <v>0.1116584564860427</v>
      </c>
      <c r="T28" s="495">
        <v>0.35899181476798342</v>
      </c>
      <c r="U28" s="234"/>
      <c r="V28" s="234"/>
    </row>
    <row r="29" spans="1:22">
      <c r="A29" s="377" t="s">
        <v>656</v>
      </c>
      <c r="B29" s="673">
        <v>1158</v>
      </c>
      <c r="C29" s="495">
        <v>6.6000000000000003E-2</v>
      </c>
      <c r="D29" s="495">
        <v>0.158</v>
      </c>
      <c r="E29" s="495">
        <v>0.27300000000000002</v>
      </c>
      <c r="F29" s="495">
        <v>-4.111922141119221E-2</v>
      </c>
      <c r="G29" s="495">
        <v>4.4923857868020313E-2</v>
      </c>
      <c r="H29" s="495">
        <v>0.10309278350515461</v>
      </c>
      <c r="I29" s="674">
        <v>0.68712218625755628</v>
      </c>
      <c r="J29" s="674">
        <v>1.2563263735206389</v>
      </c>
      <c r="K29" s="674">
        <v>2.1220365332296929</v>
      </c>
      <c r="L29" s="495">
        <v>0.1020378721600675</v>
      </c>
      <c r="M29" s="495">
        <v>0.10662146754235351</v>
      </c>
      <c r="N29" s="495">
        <v>0.110950862378251</v>
      </c>
      <c r="O29" s="674">
        <v>0.69447198687391021</v>
      </c>
      <c r="P29" s="674">
        <v>1.357279743324102</v>
      </c>
      <c r="Q29" s="674">
        <v>2.0347501762454949</v>
      </c>
      <c r="R29" s="495">
        <v>1.7048567469141771E-2</v>
      </c>
      <c r="S29" s="495">
        <v>9.0909090909090898E-2</v>
      </c>
      <c r="T29" s="495">
        <v>0.27128472517237001</v>
      </c>
      <c r="U29" s="234"/>
      <c r="V29" s="234"/>
    </row>
    <row r="30" spans="1:22">
      <c r="A30" s="377" t="s">
        <v>657</v>
      </c>
      <c r="B30" s="673">
        <v>122</v>
      </c>
      <c r="C30" s="495">
        <v>1.03E-2</v>
      </c>
      <c r="D30" s="495">
        <v>7.3200000000000001E-2</v>
      </c>
      <c r="E30" s="495">
        <v>0.16400000000000001</v>
      </c>
      <c r="F30" s="495">
        <v>-2.4442119944211992E-2</v>
      </c>
      <c r="G30" s="495">
        <v>3.003080082135523E-2</v>
      </c>
      <c r="H30" s="495">
        <v>7.9817559863169907E-2</v>
      </c>
      <c r="I30" s="674">
        <v>0.92405913978494614</v>
      </c>
      <c r="J30" s="674">
        <v>1.65673420738975</v>
      </c>
      <c r="K30" s="674">
        <v>2.8141361256544499</v>
      </c>
      <c r="L30" s="495">
        <v>9.4959390011516806E-2</v>
      </c>
      <c r="M30" s="495">
        <v>9.8616003395377433E-2</v>
      </c>
      <c r="N30" s="495">
        <v>0.1000350365354598</v>
      </c>
      <c r="O30" s="674">
        <v>0.57135974612053642</v>
      </c>
      <c r="P30" s="674">
        <v>1.2201553074395719</v>
      </c>
      <c r="Q30" s="674">
        <v>1.883010643499716</v>
      </c>
      <c r="R30" s="495">
        <v>1.188513923831006E-2</v>
      </c>
      <c r="S30" s="495">
        <v>6.5714285714285711E-2</v>
      </c>
      <c r="T30" s="495">
        <v>0.24653739612188369</v>
      </c>
      <c r="U30" s="234"/>
      <c r="V30" s="234"/>
    </row>
    <row r="31" spans="1:22">
      <c r="A31" s="377" t="s">
        <v>608</v>
      </c>
      <c r="B31" s="673">
        <v>1481</v>
      </c>
      <c r="C31" s="495">
        <v>5.4800000000000001E-2</v>
      </c>
      <c r="D31" s="495">
        <v>0.123</v>
      </c>
      <c r="E31" s="495">
        <v>0.251</v>
      </c>
      <c r="F31" s="495">
        <v>-5.154134725167183E-2</v>
      </c>
      <c r="G31" s="495">
        <v>3.7450921171851413E-2</v>
      </c>
      <c r="H31" s="495">
        <v>0.1007829181494662</v>
      </c>
      <c r="I31" s="674">
        <v>0.64442057204243308</v>
      </c>
      <c r="J31" s="674">
        <v>1.1351278154464819</v>
      </c>
      <c r="K31" s="674">
        <v>1.872349448685326</v>
      </c>
      <c r="L31" s="495">
        <v>0.1114596731248432</v>
      </c>
      <c r="M31" s="495">
        <v>0.1170205825069431</v>
      </c>
      <c r="N31" s="495">
        <v>0.119559595473577</v>
      </c>
      <c r="O31" s="674">
        <v>0.91571717315533507</v>
      </c>
      <c r="P31" s="674">
        <v>1.5655119062833831</v>
      </c>
      <c r="Q31" s="674">
        <v>2.230314679029318</v>
      </c>
      <c r="R31" s="495">
        <v>1.4628374744541249E-2</v>
      </c>
      <c r="S31" s="495">
        <v>7.6949152542372889E-2</v>
      </c>
      <c r="T31" s="495">
        <v>0.2293468928657027</v>
      </c>
      <c r="U31" s="234"/>
      <c r="V31" s="234"/>
    </row>
    <row r="32" spans="1:22">
      <c r="A32" s="377" t="s">
        <v>658</v>
      </c>
      <c r="B32" s="673">
        <v>1390</v>
      </c>
      <c r="C32" s="495">
        <v>3.2000000000000001E-2</v>
      </c>
      <c r="D32" s="495">
        <v>8.0399999999999985E-2</v>
      </c>
      <c r="E32" s="495">
        <v>0.156</v>
      </c>
      <c r="F32" s="495">
        <v>6.9375000000000001E-3</v>
      </c>
      <c r="G32" s="495">
        <v>5.3411764705882353E-2</v>
      </c>
      <c r="H32" s="495">
        <v>0.10676328502415459</v>
      </c>
      <c r="I32" s="674">
        <v>0.78058252427184482</v>
      </c>
      <c r="J32" s="674">
        <v>1.7164424023629801</v>
      </c>
      <c r="K32" s="674">
        <v>3.180778032036613</v>
      </c>
      <c r="L32" s="495">
        <v>7.537503093666223E-2</v>
      </c>
      <c r="M32" s="495">
        <v>7.8299829002503957E-2</v>
      </c>
      <c r="N32" s="495">
        <v>9.0280293521001434E-2</v>
      </c>
      <c r="O32" s="674">
        <v>0.43064304968455458</v>
      </c>
      <c r="P32" s="674">
        <v>0.9490760540120351</v>
      </c>
      <c r="Q32" s="674">
        <v>1.457981987789615</v>
      </c>
      <c r="R32" s="495">
        <v>3.4528163862472573E-2</v>
      </c>
      <c r="S32" s="495">
        <v>0.17017297802711551</v>
      </c>
      <c r="T32" s="495">
        <v>0.43605359317905001</v>
      </c>
      <c r="U32" s="234"/>
      <c r="V32" s="234"/>
    </row>
    <row r="33" spans="1:22">
      <c r="A33" s="377" t="s">
        <v>480</v>
      </c>
      <c r="B33" s="673">
        <v>733</v>
      </c>
      <c r="C33" s="495">
        <v>2.5600000000000001E-2</v>
      </c>
      <c r="D33" s="495">
        <v>7.4099999999999999E-2</v>
      </c>
      <c r="E33" s="495">
        <v>0.17599999999999999</v>
      </c>
      <c r="F33" s="495">
        <v>-0.23328785811732611</v>
      </c>
      <c r="G33" s="495">
        <v>1.507537688442211E-3</v>
      </c>
      <c r="H33" s="495">
        <v>0.1173669467787115</v>
      </c>
      <c r="I33" s="674">
        <v>0.45148895292987512</v>
      </c>
      <c r="J33" s="674">
        <v>1.016617790811339</v>
      </c>
      <c r="K33" s="674">
        <v>2.2889221556886228</v>
      </c>
      <c r="L33" s="495">
        <v>8.2646939947979517E-2</v>
      </c>
      <c r="M33" s="495">
        <v>8.7837580178839011E-2</v>
      </c>
      <c r="N33" s="495">
        <v>9.1063495498370145E-2</v>
      </c>
      <c r="O33" s="674">
        <v>0.34485701293930532</v>
      </c>
      <c r="P33" s="674">
        <v>0.8939638692740336</v>
      </c>
      <c r="Q33" s="674">
        <v>1.557637480836163</v>
      </c>
      <c r="R33" s="495">
        <v>1.274435033918035E-3</v>
      </c>
      <c r="S33" s="495">
        <v>5.4353382177543028E-2</v>
      </c>
      <c r="T33" s="495">
        <v>0.24753451676528601</v>
      </c>
      <c r="U33" s="234"/>
      <c r="V33" s="234"/>
    </row>
    <row r="34" spans="1:22">
      <c r="A34" s="377" t="s">
        <v>659</v>
      </c>
      <c r="B34" s="673">
        <v>397</v>
      </c>
      <c r="C34" s="495">
        <v>3.04E-2</v>
      </c>
      <c r="D34" s="495">
        <v>9.820000000000001E-2</v>
      </c>
      <c r="E34" s="495">
        <v>0.23799999999999999</v>
      </c>
      <c r="F34" s="495">
        <v>-7.6190476190476197E-2</v>
      </c>
      <c r="G34" s="495">
        <v>4.5768072289156622E-2</v>
      </c>
      <c r="H34" s="495">
        <v>0.12583120204603579</v>
      </c>
      <c r="I34" s="674">
        <v>0.36176194939081541</v>
      </c>
      <c r="J34" s="674">
        <v>0.84771511910549358</v>
      </c>
      <c r="K34" s="674">
        <v>2.2141163448580632</v>
      </c>
      <c r="L34" s="495">
        <v>7.9170369218297454E-2</v>
      </c>
      <c r="M34" s="495">
        <v>8.3165929050857151E-2</v>
      </c>
      <c r="N34" s="495">
        <v>8.5756905589611979E-2</v>
      </c>
      <c r="O34" s="674">
        <v>0.51419252508556001</v>
      </c>
      <c r="P34" s="674">
        <v>1.0219428575014939</v>
      </c>
      <c r="Q34" s="674">
        <v>1.660123960674913</v>
      </c>
      <c r="R34" s="495">
        <v>2.9110620471460999E-2</v>
      </c>
      <c r="S34" s="495">
        <v>0.1805177111716621</v>
      </c>
      <c r="T34" s="495">
        <v>0.4400656086532494</v>
      </c>
      <c r="U34" s="234"/>
      <c r="V34" s="234"/>
    </row>
    <row r="35" spans="1:22">
      <c r="A35" s="377" t="s">
        <v>660</v>
      </c>
      <c r="B35" s="673">
        <v>428</v>
      </c>
      <c r="C35" s="495">
        <v>2.5100000000000001E-2</v>
      </c>
      <c r="D35" s="495">
        <v>5.4899999999999997E-2</v>
      </c>
      <c r="E35" s="495">
        <v>0.105</v>
      </c>
      <c r="F35" s="495">
        <v>6.2345679012345686E-3</v>
      </c>
      <c r="G35" s="495">
        <v>6.4516729051402863E-2</v>
      </c>
      <c r="H35" s="495">
        <v>0.15208770702122701</v>
      </c>
      <c r="I35" s="674">
        <v>0.58484887294119403</v>
      </c>
      <c r="J35" s="674">
        <v>1.043518216224713</v>
      </c>
      <c r="K35" s="674">
        <v>1.9004796163069539</v>
      </c>
      <c r="L35" s="495">
        <v>6.2475989467666533E-2</v>
      </c>
      <c r="M35" s="495">
        <v>6.7961872639710402E-2</v>
      </c>
      <c r="N35" s="495">
        <v>7.4300581051654047E-2</v>
      </c>
      <c r="O35" s="674">
        <v>0.15266330362999889</v>
      </c>
      <c r="P35" s="674">
        <v>0.54882386025589525</v>
      </c>
      <c r="Q35" s="674">
        <v>1.167984265126113</v>
      </c>
      <c r="R35" s="495">
        <v>6.4580228514654753E-3</v>
      </c>
      <c r="S35" s="495">
        <v>0.12910674923900489</v>
      </c>
      <c r="T35" s="495">
        <v>0.35954992328237773</v>
      </c>
      <c r="U35" s="234"/>
      <c r="V35" s="234"/>
    </row>
    <row r="36" spans="1:22">
      <c r="A36" s="377" t="s">
        <v>989</v>
      </c>
      <c r="B36" s="673">
        <v>1138</v>
      </c>
      <c r="C36" s="495">
        <v>4.0899999999999999E-2</v>
      </c>
      <c r="D36" s="495">
        <v>9.0299999999999991E-2</v>
      </c>
      <c r="E36" s="495">
        <v>0.17499999999999999</v>
      </c>
      <c r="F36" s="495">
        <v>0</v>
      </c>
      <c r="G36" s="495">
        <v>0</v>
      </c>
      <c r="H36" s="495">
        <v>0.16303234304112399</v>
      </c>
      <c r="I36" s="674">
        <v>8.3689035057028904E-2</v>
      </c>
      <c r="J36" s="674">
        <v>0.2298084929225645</v>
      </c>
      <c r="K36" s="674">
        <v>0.89859380358980223</v>
      </c>
      <c r="L36" s="495">
        <v>5.265466833856907E-2</v>
      </c>
      <c r="M36" s="495">
        <v>5.8582150587255487E-2</v>
      </c>
      <c r="N36" s="495">
        <v>6.1402645562705187E-2</v>
      </c>
      <c r="O36" s="674">
        <v>0.23479426503818429</v>
      </c>
      <c r="P36" s="674">
        <v>0.72806319150072429</v>
      </c>
      <c r="Q36" s="674">
        <v>1.2809620489594991</v>
      </c>
      <c r="R36" s="495">
        <v>1.6471711625686319E-2</v>
      </c>
      <c r="S36" s="495">
        <v>0.23028395477858449</v>
      </c>
      <c r="T36" s="495">
        <v>0.5881111316324108</v>
      </c>
      <c r="U36" s="234"/>
      <c r="V36" s="234"/>
    </row>
    <row r="37" spans="1:22">
      <c r="A37" s="377" t="s">
        <v>661</v>
      </c>
      <c r="B37" s="673">
        <v>1450</v>
      </c>
      <c r="C37" s="495">
        <v>1.9900000000000001E-2</v>
      </c>
      <c r="D37" s="495">
        <v>5.4299999999999987E-2</v>
      </c>
      <c r="E37" s="495">
        <v>0.115</v>
      </c>
      <c r="F37" s="495">
        <v>1.35663082437276E-2</v>
      </c>
      <c r="G37" s="495">
        <v>5.2530635798906947E-2</v>
      </c>
      <c r="H37" s="495">
        <v>0.102112676056338</v>
      </c>
      <c r="I37" s="674">
        <v>0.90469362073939052</v>
      </c>
      <c r="J37" s="674">
        <v>1.5399460688415381</v>
      </c>
      <c r="K37" s="674">
        <v>2.466922164431061</v>
      </c>
      <c r="L37" s="495">
        <v>6.6154324026117012E-2</v>
      </c>
      <c r="M37" s="495">
        <v>7.1779666064438349E-2</v>
      </c>
      <c r="N37" s="495">
        <v>7.9117503101712533E-2</v>
      </c>
      <c r="O37" s="674">
        <v>0.18879589229348279</v>
      </c>
      <c r="P37" s="674">
        <v>0.59874181164848483</v>
      </c>
      <c r="Q37" s="674">
        <v>1.079224502758801</v>
      </c>
      <c r="R37" s="495">
        <v>3.0848295760480898E-2</v>
      </c>
      <c r="S37" s="495">
        <v>0.1785252263906856</v>
      </c>
      <c r="T37" s="495">
        <v>0.42255602068456039</v>
      </c>
      <c r="U37" s="234"/>
      <c r="V37" s="234"/>
    </row>
    <row r="38" spans="1:22">
      <c r="A38" s="377" t="s">
        <v>662</v>
      </c>
      <c r="B38" s="673">
        <v>183</v>
      </c>
      <c r="C38" s="495">
        <v>2.8199999999999999E-2</v>
      </c>
      <c r="D38" s="495">
        <v>4.3999999999999997E-2</v>
      </c>
      <c r="E38" s="495">
        <v>7.7000000000000013E-2</v>
      </c>
      <c r="F38" s="495">
        <v>4.9585004130489746E-3</v>
      </c>
      <c r="G38" s="495">
        <v>2.741407528641571E-2</v>
      </c>
      <c r="H38" s="495">
        <v>5.0393700787401567E-2</v>
      </c>
      <c r="I38" s="674">
        <v>1.148845332815835</v>
      </c>
      <c r="J38" s="674">
        <v>3.2172658094988189</v>
      </c>
      <c r="K38" s="674">
        <v>6.2816695744655604</v>
      </c>
      <c r="L38" s="495">
        <v>6.2574080353737752E-2</v>
      </c>
      <c r="M38" s="495">
        <v>6.7170925744366616E-2</v>
      </c>
      <c r="N38" s="495">
        <v>7.3780723974303686E-2</v>
      </c>
      <c r="O38" s="674">
        <v>0.27216828694203887</v>
      </c>
      <c r="P38" s="674">
        <v>0.62864559650394203</v>
      </c>
      <c r="Q38" s="674">
        <v>1.0229140343794321</v>
      </c>
      <c r="R38" s="495">
        <v>1.1830201809324981E-2</v>
      </c>
      <c r="S38" s="495">
        <v>0.18800509394505041</v>
      </c>
      <c r="T38" s="495">
        <v>0.37349860047457378</v>
      </c>
      <c r="U38" s="234"/>
      <c r="V38" s="234"/>
    </row>
    <row r="39" spans="1:22">
      <c r="A39" s="377" t="s">
        <v>663</v>
      </c>
      <c r="B39" s="673">
        <v>383</v>
      </c>
      <c r="C39" s="495">
        <v>1.4800000000000001E-2</v>
      </c>
      <c r="D39" s="495">
        <v>5.3400000000000003E-2</v>
      </c>
      <c r="E39" s="495">
        <v>0.10100000000000001</v>
      </c>
      <c r="F39" s="495">
        <v>-1.5723270440251571E-3</v>
      </c>
      <c r="G39" s="495">
        <v>4.5048646405301609E-2</v>
      </c>
      <c r="H39" s="495">
        <v>9.3041962729588423E-2</v>
      </c>
      <c r="I39" s="674">
        <v>0.89410518884574652</v>
      </c>
      <c r="J39" s="674">
        <v>1.470522957414343</v>
      </c>
      <c r="K39" s="674">
        <v>2.2138407998768721</v>
      </c>
      <c r="L39" s="495">
        <v>8.4500080662072014E-2</v>
      </c>
      <c r="M39" s="495">
        <v>8.748949601473778E-2</v>
      </c>
      <c r="N39" s="495">
        <v>0.1014696490460211</v>
      </c>
      <c r="O39" s="674">
        <v>0.41961074205653481</v>
      </c>
      <c r="P39" s="674">
        <v>0.84467336938050863</v>
      </c>
      <c r="Q39" s="674">
        <v>1.362061494124378</v>
      </c>
      <c r="R39" s="495">
        <v>2.1739130434782612E-2</v>
      </c>
      <c r="S39" s="495">
        <v>0.130558183538316</v>
      </c>
      <c r="T39" s="495">
        <v>0.33580246913580247</v>
      </c>
      <c r="U39" s="234"/>
      <c r="V39" s="234"/>
    </row>
    <row r="40" spans="1:22">
      <c r="A40" s="377" t="s">
        <v>664</v>
      </c>
      <c r="B40" s="673">
        <v>258</v>
      </c>
      <c r="C40" s="495">
        <v>2.6499999999999999E-2</v>
      </c>
      <c r="D40" s="495">
        <v>8.1300000000000011E-2</v>
      </c>
      <c r="E40" s="495">
        <v>0.17699999999999999</v>
      </c>
      <c r="F40" s="495">
        <v>-7.7522935779816516E-3</v>
      </c>
      <c r="G40" s="495">
        <v>0.19499017681728881</v>
      </c>
      <c r="H40" s="495">
        <v>0.35792349726775952</v>
      </c>
      <c r="I40" s="674">
        <v>0.1182486932954766</v>
      </c>
      <c r="J40" s="674">
        <v>0.20971799602271371</v>
      </c>
      <c r="K40" s="674">
        <v>0.44948704573117709</v>
      </c>
      <c r="L40" s="495">
        <v>6.4619213071799797E-2</v>
      </c>
      <c r="M40" s="495">
        <v>7.061223968846346E-2</v>
      </c>
      <c r="N40" s="495">
        <v>7.8738655545346953E-2</v>
      </c>
      <c r="O40" s="674">
        <v>0.28109070049448093</v>
      </c>
      <c r="P40" s="674">
        <v>0.79303314889153853</v>
      </c>
      <c r="Q40" s="674">
        <v>1.2802245650052271</v>
      </c>
      <c r="R40" s="495">
        <v>6.5712426805465199E-2</v>
      </c>
      <c r="S40" s="495">
        <v>0.32959326788218801</v>
      </c>
      <c r="T40" s="495">
        <v>0.557821911118346</v>
      </c>
      <c r="U40" s="234"/>
      <c r="V40" s="234"/>
    </row>
    <row r="41" spans="1:22">
      <c r="A41" s="377" t="s">
        <v>665</v>
      </c>
      <c r="B41" s="673">
        <v>842</v>
      </c>
      <c r="C41" s="495">
        <v>4.4600000000000001E-2</v>
      </c>
      <c r="D41" s="495">
        <v>0.11</v>
      </c>
      <c r="E41" s="495">
        <v>0.23300000000000001</v>
      </c>
      <c r="F41" s="495">
        <v>-0.53086419753086411</v>
      </c>
      <c r="G41" s="495">
        <v>1.027367506516073E-2</v>
      </c>
      <c r="H41" s="495">
        <v>0.1307262569832402</v>
      </c>
      <c r="I41" s="674">
        <v>0.46896605227008947</v>
      </c>
      <c r="J41" s="674">
        <v>0.91571814642691252</v>
      </c>
      <c r="K41" s="674">
        <v>1.6165254237288129</v>
      </c>
      <c r="L41" s="495">
        <v>8.7449253389177917E-2</v>
      </c>
      <c r="M41" s="495">
        <v>9.2526396225601479E-2</v>
      </c>
      <c r="N41" s="495">
        <v>9.6232298735619795E-2</v>
      </c>
      <c r="O41" s="674">
        <v>0.59972821994075087</v>
      </c>
      <c r="P41" s="674">
        <v>1.0267917725906011</v>
      </c>
      <c r="Q41" s="674">
        <v>1.6307846596343021</v>
      </c>
      <c r="R41" s="495">
        <v>8.3857964018214833E-3</v>
      </c>
      <c r="S41" s="495">
        <v>6.8808455895135776E-2</v>
      </c>
      <c r="T41" s="495">
        <v>0.2129789437348982</v>
      </c>
      <c r="U41" s="234"/>
      <c r="V41" s="234"/>
    </row>
    <row r="42" spans="1:22">
      <c r="A42" s="377" t="s">
        <v>666</v>
      </c>
      <c r="B42" s="673">
        <v>478</v>
      </c>
      <c r="C42" s="495">
        <v>3.1800000000000002E-2</v>
      </c>
      <c r="D42" s="495">
        <v>6.8099999999999994E-2</v>
      </c>
      <c r="E42" s="495">
        <v>0.14899999999999999</v>
      </c>
      <c r="F42" s="495">
        <v>-2.60655737704918E-2</v>
      </c>
      <c r="G42" s="495">
        <v>3.3794502859251063E-2</v>
      </c>
      <c r="H42" s="495">
        <v>0.1016003027475619</v>
      </c>
      <c r="I42" s="674">
        <v>1.0042751068776721</v>
      </c>
      <c r="J42" s="674">
        <v>1.8530866075733721</v>
      </c>
      <c r="K42" s="674">
        <v>4.1957364341085288</v>
      </c>
      <c r="L42" s="495">
        <v>7.3233308176489181E-2</v>
      </c>
      <c r="M42" s="495">
        <v>7.7542504441567517E-2</v>
      </c>
      <c r="N42" s="495">
        <v>8.4097355605251362E-2</v>
      </c>
      <c r="O42" s="674">
        <v>0.39769416979210592</v>
      </c>
      <c r="P42" s="674">
        <v>0.79655404002806007</v>
      </c>
      <c r="Q42" s="674">
        <v>1.3224276790335341</v>
      </c>
      <c r="R42" s="495">
        <v>3.1727027835977251E-2</v>
      </c>
      <c r="S42" s="495">
        <v>0.1610990441768019</v>
      </c>
      <c r="T42" s="495">
        <v>0.37403564777866449</v>
      </c>
      <c r="U42" s="234"/>
      <c r="V42" s="234"/>
    </row>
    <row r="43" spans="1:22">
      <c r="A43" s="377" t="s">
        <v>667</v>
      </c>
      <c r="B43" s="673">
        <v>430</v>
      </c>
      <c r="C43" s="495">
        <v>3.8699999999999998E-2</v>
      </c>
      <c r="D43" s="495">
        <v>9.7799999999999998E-2</v>
      </c>
      <c r="E43" s="495">
        <v>0.187</v>
      </c>
      <c r="F43" s="495">
        <v>-0.72753209700427968</v>
      </c>
      <c r="G43" s="495">
        <v>-2.3281792673248852E-2</v>
      </c>
      <c r="H43" s="495">
        <v>0.1231630510846746</v>
      </c>
      <c r="I43" s="674">
        <v>0.36805260924904543</v>
      </c>
      <c r="J43" s="674">
        <v>0.89277459360765632</v>
      </c>
      <c r="K43" s="674">
        <v>1.7736584434692551</v>
      </c>
      <c r="L43" s="495">
        <v>9.0683279565591413E-2</v>
      </c>
      <c r="M43" s="495">
        <v>9.5018896031901778E-2</v>
      </c>
      <c r="N43" s="495">
        <v>0.1010410133747265</v>
      </c>
      <c r="O43" s="674">
        <v>0.69137102178465792</v>
      </c>
      <c r="P43" s="674">
        <v>1.1594746925271029</v>
      </c>
      <c r="Q43" s="674">
        <v>1.839832147467374</v>
      </c>
      <c r="R43" s="495">
        <v>2.2089462322405738E-3</v>
      </c>
      <c r="S43" s="495">
        <v>4.1248104964101757E-2</v>
      </c>
      <c r="T43" s="495">
        <v>0.18884317431723421</v>
      </c>
      <c r="U43" s="234"/>
      <c r="V43" s="234"/>
    </row>
    <row r="44" spans="1:22">
      <c r="A44" s="377" t="s">
        <v>668</v>
      </c>
      <c r="B44" s="673">
        <v>160</v>
      </c>
      <c r="C44" s="495">
        <v>-7.6800000000000002E-3</v>
      </c>
      <c r="D44" s="495">
        <v>5.6300000000000003E-2</v>
      </c>
      <c r="E44" s="495">
        <v>0.114</v>
      </c>
      <c r="F44" s="495">
        <v>1.420606825074801E-2</v>
      </c>
      <c r="G44" s="495">
        <v>7.4796575197328768E-2</v>
      </c>
      <c r="H44" s="495">
        <v>0.1342496182146328</v>
      </c>
      <c r="I44" s="674">
        <v>0.61286160826384728</v>
      </c>
      <c r="J44" s="674">
        <v>1.333916083916084</v>
      </c>
      <c r="K44" s="674">
        <v>2.3956573474596352</v>
      </c>
      <c r="L44" s="495">
        <v>7.4489500768939204E-2</v>
      </c>
      <c r="M44" s="495">
        <v>7.7653843722061411E-2</v>
      </c>
      <c r="N44" s="495">
        <v>8.322601171315179E-2</v>
      </c>
      <c r="O44" s="674">
        <v>0.44876049023874159</v>
      </c>
      <c r="P44" s="674">
        <v>0.89140942876456009</v>
      </c>
      <c r="Q44" s="674">
        <v>1.3186926796522229</v>
      </c>
      <c r="R44" s="495">
        <v>8.2367053178728514E-2</v>
      </c>
      <c r="S44" s="495">
        <v>0.29584452116097693</v>
      </c>
      <c r="T44" s="495">
        <v>0.58705247670426675</v>
      </c>
      <c r="U44" s="234"/>
      <c r="V44" s="234"/>
    </row>
    <row r="45" spans="1:22">
      <c r="A45" s="377" t="s">
        <v>669</v>
      </c>
      <c r="B45" s="673">
        <v>249</v>
      </c>
      <c r="C45" s="495">
        <v>4.7899999999999998E-2</v>
      </c>
      <c r="D45" s="495">
        <v>9.4299999999999995E-2</v>
      </c>
      <c r="E45" s="495">
        <v>0.16200000000000001</v>
      </c>
      <c r="F45" s="495">
        <v>3.77845220030349E-2</v>
      </c>
      <c r="G45" s="495">
        <v>9.957857531266992E-2</v>
      </c>
      <c r="H45" s="495">
        <v>0.1636615811373093</v>
      </c>
      <c r="I45" s="674">
        <v>0.71027232326396372</v>
      </c>
      <c r="J45" s="674">
        <v>1.0784673407393279</v>
      </c>
      <c r="K45" s="674">
        <v>1.7305848513902209</v>
      </c>
      <c r="L45" s="495">
        <v>6.6450651803773575E-2</v>
      </c>
      <c r="M45" s="495">
        <v>7.1968947260661317E-2</v>
      </c>
      <c r="N45" s="495">
        <v>8.0353409295997685E-2</v>
      </c>
      <c r="O45" s="674">
        <v>0.21403687537354649</v>
      </c>
      <c r="P45" s="674">
        <v>0.72273427518598887</v>
      </c>
      <c r="Q45" s="674">
        <v>1.1070823643862799</v>
      </c>
      <c r="R45" s="495">
        <v>4.3748785996334021E-2</v>
      </c>
      <c r="S45" s="495">
        <v>0.16804191996282769</v>
      </c>
      <c r="T45" s="495">
        <v>0.4023297178530324</v>
      </c>
      <c r="U45" s="234"/>
      <c r="V45" s="234"/>
    </row>
    <row r="46" spans="1:22">
      <c r="A46" s="377" t="s">
        <v>670</v>
      </c>
      <c r="B46" s="673">
        <v>656</v>
      </c>
      <c r="C46" s="495">
        <v>3.2899999999999999E-2</v>
      </c>
      <c r="D46" s="495">
        <v>7.1500000000000008E-2</v>
      </c>
      <c r="E46" s="495">
        <v>0.125</v>
      </c>
      <c r="F46" s="495">
        <v>0</v>
      </c>
      <c r="G46" s="495">
        <v>9.7934918648310387E-2</v>
      </c>
      <c r="H46" s="495">
        <v>0.19473756857273791</v>
      </c>
      <c r="I46" s="674">
        <v>0.2427342984652226</v>
      </c>
      <c r="J46" s="674">
        <v>0.57711054786508098</v>
      </c>
      <c r="K46" s="674">
        <v>1.4411927112092771</v>
      </c>
      <c r="L46" s="495">
        <v>6.9906868509231529E-2</v>
      </c>
      <c r="M46" s="495">
        <v>7.4460209508073527E-2</v>
      </c>
      <c r="N46" s="495">
        <v>8.5828737064970018E-2</v>
      </c>
      <c r="O46" s="674">
        <v>0.27757944446577082</v>
      </c>
      <c r="P46" s="674">
        <v>0.74540595932859077</v>
      </c>
      <c r="Q46" s="674">
        <v>1.236028943364968</v>
      </c>
      <c r="R46" s="495">
        <v>2.0792607073040689E-2</v>
      </c>
      <c r="S46" s="495">
        <v>0.16865047960676391</v>
      </c>
      <c r="T46" s="495">
        <v>0.45751925447982023</v>
      </c>
      <c r="U46" s="234"/>
      <c r="V46" s="234"/>
    </row>
    <row r="47" spans="1:22">
      <c r="A47" s="377" t="s">
        <v>671</v>
      </c>
      <c r="B47" s="673">
        <v>588</v>
      </c>
      <c r="C47" s="495">
        <v>1.5100000000000001E-2</v>
      </c>
      <c r="D47" s="495">
        <v>5.8500000000000003E-2</v>
      </c>
      <c r="E47" s="495">
        <v>0.13500000000000001</v>
      </c>
      <c r="F47" s="495">
        <v>-1.7367332873880079E-2</v>
      </c>
      <c r="G47" s="495">
        <v>5.7127367784621123E-2</v>
      </c>
      <c r="H47" s="495">
        <v>0.12715789473684211</v>
      </c>
      <c r="I47" s="674">
        <v>0.77485795454545447</v>
      </c>
      <c r="J47" s="674">
        <v>1.402027027027027</v>
      </c>
      <c r="K47" s="674">
        <v>2.504213821333976</v>
      </c>
      <c r="L47" s="495">
        <v>7.3931904134455106E-2</v>
      </c>
      <c r="M47" s="495">
        <v>7.7923018858447352E-2</v>
      </c>
      <c r="N47" s="495">
        <v>8.5322357629084605E-2</v>
      </c>
      <c r="O47" s="674">
        <v>0.25531218700776931</v>
      </c>
      <c r="P47" s="674">
        <v>0.69287806994048473</v>
      </c>
      <c r="Q47" s="674">
        <v>1.247251895307802</v>
      </c>
      <c r="R47" s="495">
        <v>2.711329548725154E-3</v>
      </c>
      <c r="S47" s="495">
        <v>6.3953488372093026E-2</v>
      </c>
      <c r="T47" s="495">
        <v>0.27055265328567502</v>
      </c>
      <c r="U47" s="234"/>
      <c r="V47" s="234"/>
    </row>
    <row r="48" spans="1:22">
      <c r="A48" s="377" t="s">
        <v>672</v>
      </c>
      <c r="B48" s="673">
        <v>86</v>
      </c>
      <c r="C48" s="495">
        <v>5.9199999999999999E-3</v>
      </c>
      <c r="D48" s="495">
        <v>5.9900000000000009E-2</v>
      </c>
      <c r="E48" s="495">
        <v>0.126</v>
      </c>
      <c r="F48" s="495">
        <v>1.1688654353562009E-2</v>
      </c>
      <c r="G48" s="495">
        <v>7.6690211907164491E-2</v>
      </c>
      <c r="H48" s="495">
        <v>0.14954128440366971</v>
      </c>
      <c r="I48" s="674">
        <v>0.96961462450592883</v>
      </c>
      <c r="J48" s="674">
        <v>2.177494449042769</v>
      </c>
      <c r="K48" s="674">
        <v>3.2280967334431119</v>
      </c>
      <c r="L48" s="495">
        <v>7.8733297134742364E-2</v>
      </c>
      <c r="M48" s="495">
        <v>8.440911574471649E-2</v>
      </c>
      <c r="N48" s="495">
        <v>0.100122221316747</v>
      </c>
      <c r="O48" s="674">
        <v>0.48148186291932948</v>
      </c>
      <c r="P48" s="674">
        <v>0.84280142090237076</v>
      </c>
      <c r="Q48" s="674">
        <v>1.567771937756151</v>
      </c>
      <c r="R48" s="495">
        <v>1.1082693947144069E-2</v>
      </c>
      <c r="S48" s="495">
        <v>0.12779552715654949</v>
      </c>
      <c r="T48" s="495">
        <v>0.2478860703159769</v>
      </c>
      <c r="U48" s="234"/>
      <c r="V48" s="234"/>
    </row>
    <row r="49" spans="1:22">
      <c r="A49" s="377" t="s">
        <v>990</v>
      </c>
      <c r="B49" s="673">
        <v>204</v>
      </c>
      <c r="C49" s="495">
        <v>3.95E-2</v>
      </c>
      <c r="D49" s="495">
        <v>7.8800000000000009E-2</v>
      </c>
      <c r="E49" s="495">
        <v>0.17499999999999999</v>
      </c>
      <c r="F49" s="495">
        <v>5.0994013746212402E-2</v>
      </c>
      <c r="G49" s="495">
        <v>0.1076178787580114</v>
      </c>
      <c r="H49" s="495">
        <v>0.20439189189189191</v>
      </c>
      <c r="I49" s="674">
        <v>0.95422589116431333</v>
      </c>
      <c r="J49" s="674">
        <v>1.698082247974567</v>
      </c>
      <c r="K49" s="674">
        <v>3.1905018980590309</v>
      </c>
      <c r="L49" s="495">
        <v>6.2538778066322881E-2</v>
      </c>
      <c r="M49" s="495">
        <v>6.5980707809252095E-2</v>
      </c>
      <c r="N49" s="495">
        <v>7.4660343278902086E-2</v>
      </c>
      <c r="O49" s="674">
        <v>7.4914095870990113E-2</v>
      </c>
      <c r="P49" s="674">
        <v>0.47690378064185412</v>
      </c>
      <c r="Q49" s="674">
        <v>0.85844947065425725</v>
      </c>
      <c r="R49" s="495">
        <v>9.8322729901677264E-4</v>
      </c>
      <c r="S49" s="495">
        <v>5.9353370626718499E-2</v>
      </c>
      <c r="T49" s="495">
        <v>0.2078350945985965</v>
      </c>
      <c r="U49" s="234"/>
      <c r="V49" s="234"/>
    </row>
    <row r="50" spans="1:22">
      <c r="A50" s="377" t="s">
        <v>673</v>
      </c>
      <c r="B50" s="673">
        <v>143</v>
      </c>
      <c r="C50" s="495">
        <v>1.5900000000000001E-2</v>
      </c>
      <c r="D50" s="495">
        <v>4.8300000000000003E-2</v>
      </c>
      <c r="E50" s="495">
        <v>0.1</v>
      </c>
      <c r="F50" s="495">
        <v>5.1811385853939053E-2</v>
      </c>
      <c r="G50" s="495">
        <v>0.12423124231242311</v>
      </c>
      <c r="H50" s="495">
        <v>0.23320570588799311</v>
      </c>
      <c r="I50" s="674">
        <v>0.63058758452309427</v>
      </c>
      <c r="J50" s="674">
        <v>1.371918542336549</v>
      </c>
      <c r="K50" s="674">
        <v>3.3965453316176308</v>
      </c>
      <c r="L50" s="495">
        <v>7.3075923233120871E-2</v>
      </c>
      <c r="M50" s="495">
        <v>7.954842334350426E-2</v>
      </c>
      <c r="N50" s="495">
        <v>0.11950108785005981</v>
      </c>
      <c r="O50" s="674">
        <v>0.25778632672532509</v>
      </c>
      <c r="P50" s="674">
        <v>0.71101008170919655</v>
      </c>
      <c r="Q50" s="674">
        <v>1.161061431877952</v>
      </c>
      <c r="R50" s="495">
        <v>1.656867985034741E-2</v>
      </c>
      <c r="S50" s="495">
        <v>0.13293334250472069</v>
      </c>
      <c r="T50" s="495">
        <v>0.35744322960470992</v>
      </c>
      <c r="U50" s="234"/>
      <c r="V50" s="234"/>
    </row>
    <row r="51" spans="1:22">
      <c r="A51" s="377" t="s">
        <v>991</v>
      </c>
      <c r="B51" s="673">
        <v>248</v>
      </c>
      <c r="C51" s="495">
        <v>3.4299999999999997E-2</v>
      </c>
      <c r="D51" s="495">
        <v>0.06</v>
      </c>
      <c r="E51" s="495">
        <v>9.849999999999999E-2</v>
      </c>
      <c r="F51" s="495">
        <v>7.3381294964028773E-2</v>
      </c>
      <c r="G51" s="495">
        <v>0.13830164166765091</v>
      </c>
      <c r="H51" s="495">
        <v>0.2058212058212058</v>
      </c>
      <c r="I51" s="674">
        <v>0.83894230769230793</v>
      </c>
      <c r="J51" s="674">
        <v>1.479156690195961</v>
      </c>
      <c r="K51" s="674">
        <v>2.822909624932981</v>
      </c>
      <c r="L51" s="495">
        <v>5.7760644222358867E-2</v>
      </c>
      <c r="M51" s="495">
        <v>6.4972864611692868E-2</v>
      </c>
      <c r="N51" s="495">
        <v>8.6303725081597782E-2</v>
      </c>
      <c r="O51" s="674">
        <v>0.1094819692568071</v>
      </c>
      <c r="P51" s="674">
        <v>0.40965914693432182</v>
      </c>
      <c r="Q51" s="674">
        <v>0.79384200226073942</v>
      </c>
      <c r="R51" s="495">
        <v>4.0063429635445302E-3</v>
      </c>
      <c r="S51" s="495">
        <v>5.3708439897698211E-2</v>
      </c>
      <c r="T51" s="495">
        <v>0.16442474465214879</v>
      </c>
      <c r="U51" s="234"/>
      <c r="V51" s="234"/>
    </row>
    <row r="52" spans="1:22">
      <c r="A52" s="377" t="s">
        <v>992</v>
      </c>
      <c r="B52" s="673">
        <v>1315</v>
      </c>
      <c r="C52" s="495">
        <v>9.530000000000002E-3</v>
      </c>
      <c r="D52" s="495">
        <v>7.5800000000000006E-2</v>
      </c>
      <c r="E52" s="495">
        <v>0.16200000000000001</v>
      </c>
      <c r="F52" s="495">
        <v>0</v>
      </c>
      <c r="G52" s="495">
        <v>0.1788321167883212</v>
      </c>
      <c r="H52" s="495">
        <v>0.62540716612377845</v>
      </c>
      <c r="I52" s="674">
        <v>3.142183817753339E-4</v>
      </c>
      <c r="J52" s="674">
        <v>9.937419076391886E-2</v>
      </c>
      <c r="K52" s="674">
        <v>0.58823529411764697</v>
      </c>
      <c r="L52" s="495">
        <v>6.3150450175780956E-2</v>
      </c>
      <c r="M52" s="495">
        <v>6.5555162583440976E-2</v>
      </c>
      <c r="N52" s="495">
        <v>7.2420374803375764E-2</v>
      </c>
      <c r="O52" s="674">
        <v>0.124536123837677</v>
      </c>
      <c r="P52" s="674">
        <v>0.61766797005588359</v>
      </c>
      <c r="Q52" s="674">
        <v>1.182633708554599</v>
      </c>
      <c r="R52" s="495">
        <v>0</v>
      </c>
      <c r="S52" s="495">
        <v>1.331081752259859E-2</v>
      </c>
      <c r="T52" s="495">
        <v>0.1466535433070866</v>
      </c>
      <c r="U52" s="234"/>
      <c r="V52" s="234"/>
    </row>
    <row r="53" spans="1:22">
      <c r="A53" s="377" t="s">
        <v>674</v>
      </c>
      <c r="B53" s="673">
        <v>1553</v>
      </c>
      <c r="C53" s="495">
        <v>3.1099999999999999E-2</v>
      </c>
      <c r="D53" s="495">
        <v>7.9699999999999993E-2</v>
      </c>
      <c r="E53" s="495">
        <v>0.161</v>
      </c>
      <c r="F53" s="495">
        <v>-1.453488372093023E-4</v>
      </c>
      <c r="G53" s="495">
        <v>6.459407216494846E-2</v>
      </c>
      <c r="H53" s="495">
        <v>0.1254932912391476</v>
      </c>
      <c r="I53" s="674">
        <v>0.71822588733493054</v>
      </c>
      <c r="J53" s="674">
        <v>1.1772597685728661</v>
      </c>
      <c r="K53" s="674">
        <v>1.7824194952132291</v>
      </c>
      <c r="L53" s="495">
        <v>0.1004622760519272</v>
      </c>
      <c r="M53" s="495">
        <v>0.10599628193461</v>
      </c>
      <c r="N53" s="495">
        <v>0.10790268183772619</v>
      </c>
      <c r="O53" s="674">
        <v>0.70061554766765677</v>
      </c>
      <c r="P53" s="674">
        <v>1.2852680036602451</v>
      </c>
      <c r="Q53" s="674">
        <v>2.0069068011479581</v>
      </c>
      <c r="R53" s="495">
        <v>1.7421602787456449E-2</v>
      </c>
      <c r="S53" s="495">
        <v>9.4104029348358709E-2</v>
      </c>
      <c r="T53" s="495">
        <v>0.24615006553079949</v>
      </c>
      <c r="U53" s="234"/>
      <c r="V53" s="234"/>
    </row>
    <row r="54" spans="1:22">
      <c r="A54" s="377" t="s">
        <v>609</v>
      </c>
      <c r="B54" s="673">
        <v>1874</v>
      </c>
      <c r="C54" s="495">
        <v>6.08E-2</v>
      </c>
      <c r="D54" s="495">
        <v>0.124</v>
      </c>
      <c r="E54" s="495">
        <v>0.23599999999999999</v>
      </c>
      <c r="F54" s="495" t="s">
        <v>88</v>
      </c>
      <c r="G54" s="495">
        <v>2.17391304347826E-3</v>
      </c>
      <c r="H54" s="495">
        <v>8.8348416289592765E-2</v>
      </c>
      <c r="I54" s="674">
        <v>0</v>
      </c>
      <c r="J54" s="674">
        <v>0</v>
      </c>
      <c r="K54" s="674">
        <v>0.55867612576505576</v>
      </c>
      <c r="L54" s="495">
        <v>8.68195605379707E-2</v>
      </c>
      <c r="M54" s="495">
        <v>8.6836918344958158E-2</v>
      </c>
      <c r="N54" s="495">
        <v>9.2136015870364046E-2</v>
      </c>
      <c r="O54" s="674">
        <v>0.48171589528316022</v>
      </c>
      <c r="P54" s="674">
        <v>1.153442019523085</v>
      </c>
      <c r="Q54" s="674">
        <v>1.8290791556179971</v>
      </c>
      <c r="R54" s="495">
        <v>0</v>
      </c>
      <c r="S54" s="495">
        <v>5.2951947344979456E-3</v>
      </c>
      <c r="T54" s="495">
        <v>0.12631514055564691</v>
      </c>
      <c r="U54" s="234"/>
      <c r="V54" s="234"/>
    </row>
    <row r="55" spans="1:22">
      <c r="A55" s="377" t="s">
        <v>675</v>
      </c>
      <c r="B55" s="673">
        <v>139</v>
      </c>
      <c r="C55" s="495">
        <v>2.8199999999999999E-2</v>
      </c>
      <c r="D55" s="495">
        <v>4.6100000000000002E-2</v>
      </c>
      <c r="E55" s="495">
        <v>9.3599999999999989E-2</v>
      </c>
      <c r="F55" s="495">
        <v>4.2585941508465881E-4</v>
      </c>
      <c r="G55" s="495">
        <v>5.0969435272203878E-2</v>
      </c>
      <c r="H55" s="495">
        <v>9.2341168138495133E-2</v>
      </c>
      <c r="I55" s="674">
        <v>0.81833060556464821</v>
      </c>
      <c r="J55" s="674">
        <v>1.5027355881575271</v>
      </c>
      <c r="K55" s="674">
        <v>2.379248658318426</v>
      </c>
      <c r="L55" s="495">
        <v>7.2618677043884652E-2</v>
      </c>
      <c r="M55" s="495">
        <v>7.5820563641514779E-2</v>
      </c>
      <c r="N55" s="495">
        <v>8.8048513814707838E-2</v>
      </c>
      <c r="O55" s="674">
        <v>0.32277389186426669</v>
      </c>
      <c r="P55" s="674">
        <v>0.6793329807371028</v>
      </c>
      <c r="Q55" s="674">
        <v>1.081532113841521</v>
      </c>
      <c r="R55" s="495">
        <v>1.2900703674745899E-2</v>
      </c>
      <c r="S55" s="495">
        <v>0.127109337559379</v>
      </c>
      <c r="T55" s="495">
        <v>0.31388187407975898</v>
      </c>
      <c r="U55" s="234"/>
      <c r="V55" s="234"/>
    </row>
    <row r="56" spans="1:22">
      <c r="A56" s="377" t="s">
        <v>676</v>
      </c>
      <c r="B56" s="673">
        <v>34</v>
      </c>
      <c r="C56" s="495">
        <v>-4.6799999999999987E-2</v>
      </c>
      <c r="D56" s="495">
        <v>-3.1199999999999999E-2</v>
      </c>
      <c r="E56" s="495">
        <v>-1.8100000000000002E-2</v>
      </c>
      <c r="F56" s="495">
        <v>5.0958748718396188E-2</v>
      </c>
      <c r="G56" s="495">
        <v>0.10407715039770341</v>
      </c>
      <c r="H56" s="495">
        <v>0.15507487520798671</v>
      </c>
      <c r="I56" s="674">
        <v>0.77987251499163301</v>
      </c>
      <c r="J56" s="674">
        <v>1.30979443419509</v>
      </c>
      <c r="K56" s="674">
        <v>1.782639524213405</v>
      </c>
      <c r="L56" s="495">
        <v>6.6790874734690087E-2</v>
      </c>
      <c r="M56" s="495">
        <v>7.0851303010865285E-2</v>
      </c>
      <c r="N56" s="495">
        <v>8.0928586924178009E-2</v>
      </c>
      <c r="O56" s="674">
        <v>0.24707810699297991</v>
      </c>
      <c r="P56" s="674">
        <v>0.61537498622432185</v>
      </c>
      <c r="Q56" s="674">
        <v>0.90003969167582354</v>
      </c>
      <c r="R56" s="495">
        <v>0.12031367493823179</v>
      </c>
      <c r="S56" s="495">
        <v>0.31042146202079529</v>
      </c>
      <c r="T56" s="495">
        <v>0.41447840260798691</v>
      </c>
      <c r="U56" s="234"/>
      <c r="V56" s="234"/>
    </row>
    <row r="57" spans="1:22">
      <c r="A57" s="377" t="s">
        <v>610</v>
      </c>
      <c r="B57" s="673">
        <v>539</v>
      </c>
      <c r="C57" s="495">
        <v>-4.3700000000000003E-2</v>
      </c>
      <c r="D57" s="495">
        <v>4.8000000000000001E-2</v>
      </c>
      <c r="E57" s="495">
        <v>0.23300000000000001</v>
      </c>
      <c r="F57" s="495">
        <v>-0.32763157894736838</v>
      </c>
      <c r="G57" s="495">
        <v>0.1213114754098361</v>
      </c>
      <c r="H57" s="495">
        <v>0.30812324929971979</v>
      </c>
      <c r="I57" s="674">
        <v>8.0155452999757112E-2</v>
      </c>
      <c r="J57" s="674">
        <v>0.39806077922073158</v>
      </c>
      <c r="K57" s="674">
        <v>0.69527363184079605</v>
      </c>
      <c r="L57" s="495">
        <v>6.9637357264508995E-2</v>
      </c>
      <c r="M57" s="495">
        <v>7.122549971905609E-2</v>
      </c>
      <c r="N57" s="495">
        <v>7.5521129727407349E-2</v>
      </c>
      <c r="O57" s="674">
        <v>0.2672335022534898</v>
      </c>
      <c r="P57" s="674">
        <v>0.68836830486237466</v>
      </c>
      <c r="Q57" s="674">
        <v>1.24924491068257</v>
      </c>
      <c r="R57" s="495">
        <v>0</v>
      </c>
      <c r="S57" s="495">
        <v>9.5292766934557988E-2</v>
      </c>
      <c r="T57" s="495">
        <v>0.35477178423236522</v>
      </c>
      <c r="U57" s="234"/>
      <c r="V57" s="234"/>
    </row>
    <row r="58" spans="1:22">
      <c r="A58" s="377" t="s">
        <v>677</v>
      </c>
      <c r="B58" s="673">
        <v>186</v>
      </c>
      <c r="C58" s="495">
        <v>8.6499999999999997E-3</v>
      </c>
      <c r="D58" s="495">
        <v>5.7299999999999997E-2</v>
      </c>
      <c r="E58" s="495">
        <v>0.111</v>
      </c>
      <c r="F58" s="495">
        <v>1.379567486950037E-2</v>
      </c>
      <c r="G58" s="495">
        <v>0.1094397209505123</v>
      </c>
      <c r="H58" s="495">
        <v>0.24878048780487799</v>
      </c>
      <c r="I58" s="674">
        <v>0.33318419090231172</v>
      </c>
      <c r="J58" s="674">
        <v>0.79857301775862133</v>
      </c>
      <c r="K58" s="674">
        <v>2.9392265193370171</v>
      </c>
      <c r="L58" s="495">
        <v>5.8910460820572691E-2</v>
      </c>
      <c r="M58" s="495">
        <v>6.5254623521471253E-2</v>
      </c>
      <c r="N58" s="495">
        <v>7.1599780066722379E-2</v>
      </c>
      <c r="O58" s="674">
        <v>0.2887368629997481</v>
      </c>
      <c r="P58" s="674">
        <v>0.62248403701502908</v>
      </c>
      <c r="Q58" s="674">
        <v>1.053864570653855</v>
      </c>
      <c r="R58" s="495">
        <v>7.2761001752035454E-2</v>
      </c>
      <c r="S58" s="495">
        <v>0.26194007712844852</v>
      </c>
      <c r="T58" s="495">
        <v>0.49600000000000011</v>
      </c>
      <c r="U58" s="234"/>
      <c r="V58" s="234"/>
    </row>
    <row r="59" spans="1:22">
      <c r="A59" s="377" t="s">
        <v>678</v>
      </c>
      <c r="B59" s="673">
        <v>431</v>
      </c>
      <c r="C59" s="495">
        <v>-3.7199999999999997E-2</v>
      </c>
      <c r="D59" s="495">
        <v>1.84E-2</v>
      </c>
      <c r="E59" s="495">
        <v>0.109</v>
      </c>
      <c r="F59" s="495">
        <v>2.4869888475836429E-3</v>
      </c>
      <c r="G59" s="495">
        <v>3.3487833140208582E-2</v>
      </c>
      <c r="H59" s="495">
        <v>0.1051105472997463</v>
      </c>
      <c r="I59" s="674">
        <v>0.78661207050026694</v>
      </c>
      <c r="J59" s="674">
        <v>1.577861712799755</v>
      </c>
      <c r="K59" s="674">
        <v>3.1213069169273551</v>
      </c>
      <c r="L59" s="495">
        <v>7.1851995573555066E-2</v>
      </c>
      <c r="M59" s="495">
        <v>7.7134682318669157E-2</v>
      </c>
      <c r="N59" s="495">
        <v>8.8105452764116771E-2</v>
      </c>
      <c r="O59" s="674">
        <v>0.39139050210635778</v>
      </c>
      <c r="P59" s="674">
        <v>0.87834338953725799</v>
      </c>
      <c r="Q59" s="674">
        <v>1.3310633782400021</v>
      </c>
      <c r="R59" s="495">
        <v>3.9205788322396087E-2</v>
      </c>
      <c r="S59" s="495">
        <v>0.19017569600060519</v>
      </c>
      <c r="T59" s="495">
        <v>0.45007540769219218</v>
      </c>
      <c r="U59" s="234"/>
      <c r="V59" s="234"/>
    </row>
    <row r="60" spans="1:22">
      <c r="A60" s="377" t="s">
        <v>679</v>
      </c>
      <c r="B60" s="673">
        <v>438</v>
      </c>
      <c r="C60" s="495">
        <v>2.0899999999999998E-3</v>
      </c>
      <c r="D60" s="495">
        <v>5.7099999999999998E-2</v>
      </c>
      <c r="E60" s="495">
        <v>0.104</v>
      </c>
      <c r="F60" s="495">
        <v>1.357818586533111E-2</v>
      </c>
      <c r="G60" s="495">
        <v>5.1260504201680671E-2</v>
      </c>
      <c r="H60" s="495">
        <v>9.3700787401574795E-2</v>
      </c>
      <c r="I60" s="674">
        <v>0.81492288453522299</v>
      </c>
      <c r="J60" s="674">
        <v>1.208867336335296</v>
      </c>
      <c r="K60" s="674">
        <v>1.770609318996416</v>
      </c>
      <c r="L60" s="495">
        <v>6.7591934623399436E-2</v>
      </c>
      <c r="M60" s="495">
        <v>7.539461959285737E-2</v>
      </c>
      <c r="N60" s="495">
        <v>7.9752915364718624E-2</v>
      </c>
      <c r="O60" s="674">
        <v>0.22752569479522039</v>
      </c>
      <c r="P60" s="674">
        <v>0.67191769838261906</v>
      </c>
      <c r="Q60" s="674">
        <v>1.2356531928789021</v>
      </c>
      <c r="R60" s="495">
        <v>4.9268668206312552E-2</v>
      </c>
      <c r="S60" s="495">
        <v>0.2213390459991304</v>
      </c>
      <c r="T60" s="495">
        <v>0.44812362030905079</v>
      </c>
      <c r="U60" s="234"/>
      <c r="V60" s="234"/>
    </row>
    <row r="61" spans="1:22">
      <c r="A61" s="377" t="s">
        <v>680</v>
      </c>
      <c r="B61" s="673">
        <v>271</v>
      </c>
      <c r="C61" s="495">
        <v>-8.6800000000000002E-3</v>
      </c>
      <c r="D61" s="495">
        <v>2.46E-2</v>
      </c>
      <c r="E61" s="495">
        <v>7.0900000000000019E-2</v>
      </c>
      <c r="F61" s="495">
        <v>-1.710996427153632E-2</v>
      </c>
      <c r="G61" s="495">
        <v>2.7083333333333331E-2</v>
      </c>
      <c r="H61" s="495">
        <v>6.2194510501527578E-2</v>
      </c>
      <c r="I61" s="674">
        <v>0.57120003281580078</v>
      </c>
      <c r="J61" s="674">
        <v>0.89539295392953921</v>
      </c>
      <c r="K61" s="674">
        <v>1.392698881620595</v>
      </c>
      <c r="L61" s="495">
        <v>6.7235649404315506E-2</v>
      </c>
      <c r="M61" s="495">
        <v>7.1129647906502974E-2</v>
      </c>
      <c r="N61" s="495">
        <v>8.1213474173447792E-2</v>
      </c>
      <c r="O61" s="674">
        <v>0.33013112365885339</v>
      </c>
      <c r="P61" s="674">
        <v>0.8724435179030865</v>
      </c>
      <c r="Q61" s="674">
        <v>1.4561977524163781</v>
      </c>
      <c r="R61" s="495">
        <v>7.3240589198035999E-2</v>
      </c>
      <c r="S61" s="495">
        <v>0.29740134744947061</v>
      </c>
      <c r="T61" s="495">
        <v>0.53995901639344257</v>
      </c>
      <c r="U61" s="234"/>
      <c r="V61" s="234"/>
    </row>
    <row r="62" spans="1:22">
      <c r="A62" s="377" t="s">
        <v>681</v>
      </c>
      <c r="B62" s="673">
        <v>486</v>
      </c>
      <c r="C62" s="495">
        <v>-3.62E-3</v>
      </c>
      <c r="D62" s="495">
        <v>3.5799999999999998E-2</v>
      </c>
      <c r="E62" s="495">
        <v>7.9199999999999993E-2</v>
      </c>
      <c r="F62" s="495">
        <v>5.489383738995339E-2</v>
      </c>
      <c r="G62" s="495">
        <v>0.117156862745098</v>
      </c>
      <c r="H62" s="495">
        <v>0.2073287643291315</v>
      </c>
      <c r="I62" s="674">
        <v>0.37198213332056762</v>
      </c>
      <c r="J62" s="674">
        <v>0.65158954632282284</v>
      </c>
      <c r="K62" s="674">
        <v>1.3229449246104339</v>
      </c>
      <c r="L62" s="495">
        <v>5.9867059094189171E-2</v>
      </c>
      <c r="M62" s="495">
        <v>6.2927108102159859E-2</v>
      </c>
      <c r="N62" s="495">
        <v>7.1747353394857494E-2</v>
      </c>
      <c r="O62" s="674">
        <v>0.26860221576074672</v>
      </c>
      <c r="P62" s="674">
        <v>0.65917825672090447</v>
      </c>
      <c r="Q62" s="674">
        <v>1.119191375119317</v>
      </c>
      <c r="R62" s="495">
        <v>8.9009287925696609E-2</v>
      </c>
      <c r="S62" s="495">
        <v>0.36301434014380052</v>
      </c>
      <c r="T62" s="495">
        <v>0.55000000000000004</v>
      </c>
      <c r="U62" s="234"/>
      <c r="V62" s="234"/>
    </row>
    <row r="63" spans="1:22">
      <c r="A63" s="377" t="s">
        <v>682</v>
      </c>
      <c r="B63" s="673">
        <v>777</v>
      </c>
      <c r="C63" s="495">
        <v>0.25700000000000001</v>
      </c>
      <c r="D63" s="495">
        <v>0.375</v>
      </c>
      <c r="E63" s="495">
        <v>0.63800000000000001</v>
      </c>
      <c r="F63" s="495" t="s">
        <v>88</v>
      </c>
      <c r="G63" s="495">
        <v>6.2106453933269093E-2</v>
      </c>
      <c r="H63" s="495">
        <v>0.32639405204460958</v>
      </c>
      <c r="I63" s="674">
        <v>0</v>
      </c>
      <c r="J63" s="674">
        <v>0</v>
      </c>
      <c r="K63" s="674">
        <v>0.4107142857142857</v>
      </c>
      <c r="L63" s="495">
        <v>9.7508233152641066E-2</v>
      </c>
      <c r="M63" s="495">
        <v>9.7598995524366877E-2</v>
      </c>
      <c r="N63" s="495">
        <v>9.7788609312688721E-2</v>
      </c>
      <c r="O63" s="674">
        <v>0.73056049492062658</v>
      </c>
      <c r="P63" s="674">
        <v>1.3264039398647189</v>
      </c>
      <c r="Q63" s="674">
        <v>1.993943869630157</v>
      </c>
      <c r="R63" s="495">
        <v>0</v>
      </c>
      <c r="S63" s="495">
        <v>1.390254653962226E-3</v>
      </c>
      <c r="T63" s="495">
        <v>5.3206002728512961E-2</v>
      </c>
      <c r="U63" s="234"/>
      <c r="V63" s="234"/>
    </row>
    <row r="64" spans="1:22">
      <c r="A64" s="377" t="s">
        <v>683</v>
      </c>
      <c r="B64" s="673">
        <v>307</v>
      </c>
      <c r="C64" s="495">
        <v>-6.1700000000000001E-3</v>
      </c>
      <c r="D64" s="495">
        <v>3.3799999999999997E-2</v>
      </c>
      <c r="E64" s="495">
        <v>5.9200000000000003E-2</v>
      </c>
      <c r="F64" s="495">
        <v>-5.0903901046622263E-2</v>
      </c>
      <c r="G64" s="495">
        <v>4.0438596491228072E-2</v>
      </c>
      <c r="H64" s="495">
        <v>0.1030921608889963</v>
      </c>
      <c r="I64" s="674">
        <v>0.6729625223081499</v>
      </c>
      <c r="J64" s="674">
        <v>1.302452316076294</v>
      </c>
      <c r="K64" s="674">
        <v>2.3071948261924011</v>
      </c>
      <c r="L64" s="495">
        <v>7.607284581081189E-2</v>
      </c>
      <c r="M64" s="495">
        <v>7.9135957855047817E-2</v>
      </c>
      <c r="N64" s="495">
        <v>8.8681783501973241E-2</v>
      </c>
      <c r="O64" s="674">
        <v>0.27954384632239571</v>
      </c>
      <c r="P64" s="674">
        <v>0.66870762808436346</v>
      </c>
      <c r="Q64" s="674">
        <v>1.216901078037385</v>
      </c>
      <c r="R64" s="495">
        <v>9.794655898273049E-3</v>
      </c>
      <c r="S64" s="495">
        <v>0.1064630367419212</v>
      </c>
      <c r="T64" s="495">
        <v>0.3497109826589595</v>
      </c>
      <c r="U64" s="234"/>
      <c r="V64" s="234"/>
    </row>
    <row r="65" spans="1:22">
      <c r="A65" s="377" t="s">
        <v>684</v>
      </c>
      <c r="B65" s="673">
        <v>643</v>
      </c>
      <c r="C65" s="495">
        <v>-1.2E-2</v>
      </c>
      <c r="D65" s="495">
        <v>3.0200000000000001E-2</v>
      </c>
      <c r="E65" s="495">
        <v>8.7300000000000003E-2</v>
      </c>
      <c r="F65" s="495">
        <v>0.1858455191654643</v>
      </c>
      <c r="G65" s="495">
        <v>0.5</v>
      </c>
      <c r="H65" s="495">
        <v>0.64780029658922389</v>
      </c>
      <c r="I65" s="674">
        <v>6.3293198828506342E-2</v>
      </c>
      <c r="J65" s="674">
        <v>8.9949302252652477E-2</v>
      </c>
      <c r="K65" s="674">
        <v>0.13501038541426261</v>
      </c>
      <c r="L65" s="495">
        <v>5.3288281969380048E-2</v>
      </c>
      <c r="M65" s="495">
        <v>5.5380241417887888E-2</v>
      </c>
      <c r="N65" s="495">
        <v>6.2609559207009099E-2</v>
      </c>
      <c r="O65" s="674">
        <v>0.22924378830305431</v>
      </c>
      <c r="P65" s="674">
        <v>0.52892680916187795</v>
      </c>
      <c r="Q65" s="674">
        <v>0.8104902504455701</v>
      </c>
      <c r="R65" s="495">
        <v>0.17741858580079151</v>
      </c>
      <c r="S65" s="495">
        <v>0.39564492053736061</v>
      </c>
      <c r="T65" s="495">
        <v>0.54730251308002398</v>
      </c>
      <c r="U65" s="234"/>
      <c r="V65" s="234"/>
    </row>
    <row r="66" spans="1:22">
      <c r="A66" s="377" t="s">
        <v>685</v>
      </c>
      <c r="B66" s="673">
        <v>895</v>
      </c>
      <c r="C66" s="495">
        <v>-4.1099999999999998E-2</v>
      </c>
      <c r="D66" s="495">
        <v>5.7299999999999997E-2</v>
      </c>
      <c r="E66" s="495">
        <v>0.19800000000000001</v>
      </c>
      <c r="F66" s="495">
        <v>-9.6057409648971123E-2</v>
      </c>
      <c r="G66" s="495">
        <v>8.3850042926643151E-2</v>
      </c>
      <c r="H66" s="495">
        <v>0.2232142857142857</v>
      </c>
      <c r="I66" s="674">
        <v>0.1123564659045663</v>
      </c>
      <c r="J66" s="674">
        <v>0.25417867435158498</v>
      </c>
      <c r="K66" s="674">
        <v>0.58491306053078829</v>
      </c>
      <c r="L66" s="495">
        <v>6.1643942842679517E-2</v>
      </c>
      <c r="M66" s="495">
        <v>6.7719866351818425E-2</v>
      </c>
      <c r="N66" s="495">
        <v>7.0977068764402212E-2</v>
      </c>
      <c r="O66" s="674">
        <v>0.27812660998023031</v>
      </c>
      <c r="P66" s="674">
        <v>0.78013907459427689</v>
      </c>
      <c r="Q66" s="674">
        <v>1.4366425327256971</v>
      </c>
      <c r="R66" s="495">
        <v>8.8927637314734104E-2</v>
      </c>
      <c r="S66" s="495">
        <v>0.341088491898629</v>
      </c>
      <c r="T66" s="495">
        <v>0.66811034375121925</v>
      </c>
      <c r="U66" s="234"/>
      <c r="V66" s="234"/>
    </row>
    <row r="67" spans="1:22">
      <c r="A67" s="377" t="s">
        <v>686</v>
      </c>
      <c r="B67" s="673">
        <v>312</v>
      </c>
      <c r="C67" s="495">
        <v>3.1600000000000003E-2</v>
      </c>
      <c r="D67" s="495">
        <v>8.3499999999999991E-2</v>
      </c>
      <c r="E67" s="495">
        <v>0.16600000000000001</v>
      </c>
      <c r="F67" s="495">
        <v>3.8744315739429873E-2</v>
      </c>
      <c r="G67" s="495">
        <v>0.16743737957610791</v>
      </c>
      <c r="H67" s="495">
        <v>0.33873366068181759</v>
      </c>
      <c r="I67" s="674">
        <v>7.8800035927068052E-2</v>
      </c>
      <c r="J67" s="674">
        <v>0.19328349062385089</v>
      </c>
      <c r="K67" s="674">
        <v>0.45242070116861438</v>
      </c>
      <c r="L67" s="495">
        <v>6.692893224827294E-2</v>
      </c>
      <c r="M67" s="495">
        <v>7.0118232184111409E-2</v>
      </c>
      <c r="N67" s="495">
        <v>7.9901081213474057E-2</v>
      </c>
      <c r="O67" s="674">
        <v>0.29266218082087009</v>
      </c>
      <c r="P67" s="674">
        <v>0.76293904559626946</v>
      </c>
      <c r="Q67" s="674">
        <v>1.4537474025037991</v>
      </c>
      <c r="R67" s="495">
        <v>4.1118764349822583E-2</v>
      </c>
      <c r="S67" s="495">
        <v>0.32348111658456491</v>
      </c>
      <c r="T67" s="495">
        <v>0.56649283716328136</v>
      </c>
      <c r="U67" s="234"/>
      <c r="V67" s="234"/>
    </row>
    <row r="68" spans="1:22">
      <c r="A68" s="377" t="s">
        <v>687</v>
      </c>
      <c r="B68" s="673">
        <v>752</v>
      </c>
      <c r="C68" s="495">
        <v>2.35E-2</v>
      </c>
      <c r="D68" s="495">
        <v>6.8900000000000003E-2</v>
      </c>
      <c r="E68" s="495">
        <v>0.14299999999999999</v>
      </c>
      <c r="F68" s="495">
        <v>4.7268500581170082E-2</v>
      </c>
      <c r="G68" s="495">
        <v>0.27278477033964033</v>
      </c>
      <c r="H68" s="495">
        <v>0.57703081232492992</v>
      </c>
      <c r="I68" s="674">
        <v>6.9533914361500582E-2</v>
      </c>
      <c r="J68" s="674">
        <v>0.12830515821413091</v>
      </c>
      <c r="K68" s="674">
        <v>0.53719452226877906</v>
      </c>
      <c r="L68" s="495">
        <v>6.0788020619037333E-2</v>
      </c>
      <c r="M68" s="495">
        <v>6.5221485310662533E-2</v>
      </c>
      <c r="N68" s="495">
        <v>7.3620352962378122E-2</v>
      </c>
      <c r="O68" s="674">
        <v>0.19583173818600991</v>
      </c>
      <c r="P68" s="674">
        <v>0.66851730964455136</v>
      </c>
      <c r="Q68" s="674">
        <v>1.268234503297073</v>
      </c>
      <c r="R68" s="495">
        <v>2.142759188151399E-2</v>
      </c>
      <c r="S68" s="495">
        <v>0.26315789473684209</v>
      </c>
      <c r="T68" s="495">
        <v>0.54089219330855021</v>
      </c>
      <c r="U68" s="234"/>
      <c r="V68" s="234"/>
    </row>
    <row r="69" spans="1:22">
      <c r="A69" s="377" t="s">
        <v>688</v>
      </c>
      <c r="B69" s="673">
        <v>332</v>
      </c>
      <c r="C69" s="495">
        <v>2.1899999999999999E-2</v>
      </c>
      <c r="D69" s="495">
        <v>6.2199999999999998E-2</v>
      </c>
      <c r="E69" s="495">
        <v>0.104</v>
      </c>
      <c r="F69" s="495">
        <v>-1.456373662017515E-3</v>
      </c>
      <c r="G69" s="495">
        <v>6.594464500601685E-2</v>
      </c>
      <c r="H69" s="495">
        <v>0.14398422090729779</v>
      </c>
      <c r="I69" s="674">
        <v>0.61027049342164308</v>
      </c>
      <c r="J69" s="674">
        <v>1.132789169818833</v>
      </c>
      <c r="K69" s="674">
        <v>1.9286350688422069</v>
      </c>
      <c r="L69" s="495">
        <v>7.8521896411843983E-2</v>
      </c>
      <c r="M69" s="495">
        <v>8.2940846233164306E-2</v>
      </c>
      <c r="N69" s="495">
        <v>8.5153473799754811E-2</v>
      </c>
      <c r="O69" s="674">
        <v>0.47234657780835448</v>
      </c>
      <c r="P69" s="674">
        <v>0.96445201496053001</v>
      </c>
      <c r="Q69" s="674">
        <v>1.454508676263047</v>
      </c>
      <c r="R69" s="495">
        <v>2.2707423580786031E-2</v>
      </c>
      <c r="S69" s="495">
        <v>0.14532589467954821</v>
      </c>
      <c r="T69" s="495">
        <v>0.39711841512832052</v>
      </c>
      <c r="U69" s="234"/>
      <c r="V69" s="234"/>
    </row>
    <row r="70" spans="1:22">
      <c r="A70" s="377" t="s">
        <v>993</v>
      </c>
      <c r="B70" s="673">
        <v>32</v>
      </c>
      <c r="C70" s="495">
        <v>4.2000000000000002E-4</v>
      </c>
      <c r="D70" s="495">
        <v>2.9399999999999999E-2</v>
      </c>
      <c r="E70" s="495">
        <v>8.8000000000000009E-2</v>
      </c>
      <c r="F70" s="495">
        <v>7.2340280922079905E-2</v>
      </c>
      <c r="G70" s="495">
        <v>0.15026221772649481</v>
      </c>
      <c r="H70" s="495">
        <v>0.1961325966850829</v>
      </c>
      <c r="I70" s="674">
        <v>0.8401863917586192</v>
      </c>
      <c r="J70" s="674">
        <v>1.055722301970508</v>
      </c>
      <c r="K70" s="674">
        <v>2.0136121278427841</v>
      </c>
      <c r="L70" s="495">
        <v>8.7151558056490747E-2</v>
      </c>
      <c r="M70" s="495">
        <v>9.2901234139168329E-2</v>
      </c>
      <c r="N70" s="495">
        <v>0.1032295161195577</v>
      </c>
      <c r="O70" s="674">
        <v>0.47122845697445909</v>
      </c>
      <c r="P70" s="674">
        <v>0.91024551801074083</v>
      </c>
      <c r="Q70" s="674">
        <v>1.1499131932438991</v>
      </c>
      <c r="R70" s="495">
        <v>1.469867711905928E-3</v>
      </c>
      <c r="S70" s="495">
        <v>0.11549645498262109</v>
      </c>
      <c r="T70" s="495">
        <v>0.2159868634869376</v>
      </c>
      <c r="U70" s="234"/>
      <c r="V70" s="234"/>
    </row>
    <row r="71" spans="1:22">
      <c r="A71" s="377" t="s">
        <v>689</v>
      </c>
      <c r="B71" s="673">
        <v>410</v>
      </c>
      <c r="C71" s="495">
        <v>3.56E-2</v>
      </c>
      <c r="D71" s="495">
        <v>7.4900000000000008E-2</v>
      </c>
      <c r="E71" s="495">
        <v>0.13</v>
      </c>
      <c r="F71" s="495">
        <v>-4.4819819819819822E-3</v>
      </c>
      <c r="G71" s="495">
        <v>4.4109033511032701E-2</v>
      </c>
      <c r="H71" s="495">
        <v>8.7618311825264111E-2</v>
      </c>
      <c r="I71" s="674">
        <v>1.194260855015477</v>
      </c>
      <c r="J71" s="674">
        <v>2.0553359683794472</v>
      </c>
      <c r="K71" s="674">
        <v>3.5432688728253292</v>
      </c>
      <c r="L71" s="495">
        <v>6.8036011134938082E-2</v>
      </c>
      <c r="M71" s="495">
        <v>7.1290580110711557E-2</v>
      </c>
      <c r="N71" s="495">
        <v>7.2926693126755412E-2</v>
      </c>
      <c r="O71" s="674">
        <v>0.29214947212261139</v>
      </c>
      <c r="P71" s="674">
        <v>0.65346910400502944</v>
      </c>
      <c r="Q71" s="674">
        <v>1.0995172064037531</v>
      </c>
      <c r="R71" s="495">
        <v>8.5987924214032896E-2</v>
      </c>
      <c r="S71" s="495">
        <v>0.25372691750105031</v>
      </c>
      <c r="T71" s="495">
        <v>0.44432132963988918</v>
      </c>
      <c r="U71" s="234"/>
      <c r="V71" s="234"/>
    </row>
    <row r="72" spans="1:22">
      <c r="A72" s="377" t="s">
        <v>690</v>
      </c>
      <c r="B72" s="673">
        <v>212</v>
      </c>
      <c r="C72" s="495">
        <v>1.3299999999999999E-2</v>
      </c>
      <c r="D72" s="495">
        <v>5.0599999999999999E-2</v>
      </c>
      <c r="E72" s="495">
        <v>0.115</v>
      </c>
      <c r="F72" s="495">
        <v>7.9478093850382497E-3</v>
      </c>
      <c r="G72" s="495">
        <v>3.020877133625454E-2</v>
      </c>
      <c r="H72" s="495">
        <v>5.4897472020484631E-2</v>
      </c>
      <c r="I72" s="674">
        <v>1.263456090651558</v>
      </c>
      <c r="J72" s="674">
        <v>2.548958170139433</v>
      </c>
      <c r="K72" s="674">
        <v>4.2379276705918869</v>
      </c>
      <c r="L72" s="495">
        <v>6.665735365264891E-2</v>
      </c>
      <c r="M72" s="495">
        <v>7.0350749641570121E-2</v>
      </c>
      <c r="N72" s="495">
        <v>8.1691491540030733E-2</v>
      </c>
      <c r="O72" s="674">
        <v>0.35910710612022723</v>
      </c>
      <c r="P72" s="674">
        <v>0.74908079909367098</v>
      </c>
      <c r="Q72" s="674">
        <v>1.1905845798537851</v>
      </c>
      <c r="R72" s="495">
        <v>0.1006044662289895</v>
      </c>
      <c r="S72" s="495">
        <v>0.30848675348001792</v>
      </c>
      <c r="T72" s="495">
        <v>0.57398273736128236</v>
      </c>
      <c r="U72" s="234"/>
      <c r="V72" s="234"/>
    </row>
    <row r="73" spans="1:22">
      <c r="A73" s="377" t="s">
        <v>691</v>
      </c>
      <c r="B73" s="673">
        <v>121</v>
      </c>
      <c r="C73" s="495">
        <v>2.5899999999999999E-2</v>
      </c>
      <c r="D73" s="495">
        <v>5.5199999999999999E-2</v>
      </c>
      <c r="E73" s="495">
        <v>8.9200000000000002E-2</v>
      </c>
      <c r="F73" s="495">
        <v>1.12806901128069E-2</v>
      </c>
      <c r="G73" s="495">
        <v>4.2495126705653023E-2</v>
      </c>
      <c r="H73" s="495">
        <v>0.1096681318521944</v>
      </c>
      <c r="I73" s="674">
        <v>1.172126144455748</v>
      </c>
      <c r="J73" s="674">
        <v>1.8502148557397169</v>
      </c>
      <c r="K73" s="674">
        <v>3.4286806292381642</v>
      </c>
      <c r="L73" s="495">
        <v>7.3016900121686851E-2</v>
      </c>
      <c r="M73" s="495">
        <v>7.8076451448478856E-2</v>
      </c>
      <c r="N73" s="495">
        <v>8.9194207901056741E-2</v>
      </c>
      <c r="O73" s="674">
        <v>0.45318522058064309</v>
      </c>
      <c r="P73" s="674">
        <v>0.86682912392863309</v>
      </c>
      <c r="Q73" s="674">
        <v>1.4258181714613909</v>
      </c>
      <c r="R73" s="495">
        <v>0.1041196464989803</v>
      </c>
      <c r="S73" s="495">
        <v>0.26184310738766192</v>
      </c>
      <c r="T73" s="495">
        <v>0.50173379567884768</v>
      </c>
      <c r="U73" s="234"/>
      <c r="V73" s="234"/>
    </row>
    <row r="74" spans="1:22">
      <c r="A74" s="377" t="s">
        <v>692</v>
      </c>
      <c r="B74" s="673">
        <v>1079</v>
      </c>
      <c r="C74" s="495">
        <v>2.2499999999999999E-2</v>
      </c>
      <c r="D74" s="495">
        <v>5.0700000000000002E-2</v>
      </c>
      <c r="E74" s="495">
        <v>9.6799999999999997E-2</v>
      </c>
      <c r="F74" s="495">
        <v>1.134020618556701E-3</v>
      </c>
      <c r="G74" s="495">
        <v>3.215429634561344E-2</v>
      </c>
      <c r="H74" s="495">
        <v>8.1809640818096413E-2</v>
      </c>
      <c r="I74" s="674">
        <v>0.69949494949494972</v>
      </c>
      <c r="J74" s="674">
        <v>1.746887966804979</v>
      </c>
      <c r="K74" s="674">
        <v>3.3643263776930619</v>
      </c>
      <c r="L74" s="495">
        <v>6.8686620415108507E-2</v>
      </c>
      <c r="M74" s="495">
        <v>7.2556794577676886E-2</v>
      </c>
      <c r="N74" s="495">
        <v>8.387524104912493E-2</v>
      </c>
      <c r="O74" s="674">
        <v>0.218842415978799</v>
      </c>
      <c r="P74" s="674">
        <v>0.73955366730437244</v>
      </c>
      <c r="Q74" s="674">
        <v>1.3171939219387041</v>
      </c>
      <c r="R74" s="495">
        <v>2.268041237113402E-2</v>
      </c>
      <c r="S74" s="495">
        <v>0.15425531914893609</v>
      </c>
      <c r="T74" s="495">
        <v>0.4105449626044077</v>
      </c>
      <c r="U74" s="234"/>
      <c r="V74" s="234"/>
    </row>
    <row r="75" spans="1:22">
      <c r="A75" s="377" t="s">
        <v>628</v>
      </c>
      <c r="B75" s="673">
        <v>252</v>
      </c>
      <c r="C75" s="495">
        <v>2.75E-2</v>
      </c>
      <c r="D75" s="495">
        <v>6.2899999999999998E-2</v>
      </c>
      <c r="E75" s="495">
        <v>0.104</v>
      </c>
      <c r="F75" s="495">
        <v>2.5190839694656489E-3</v>
      </c>
      <c r="G75" s="495">
        <v>4.1809101602017673E-2</v>
      </c>
      <c r="H75" s="495">
        <v>8.6407965627770589E-2</v>
      </c>
      <c r="I75" s="674">
        <v>0.67627094604178062</v>
      </c>
      <c r="J75" s="674">
        <v>1.7213483146067421</v>
      </c>
      <c r="K75" s="674">
        <v>3.183288409703505</v>
      </c>
      <c r="L75" s="495">
        <v>8.0213136121071268E-2</v>
      </c>
      <c r="M75" s="495">
        <v>8.450246235789545E-2</v>
      </c>
      <c r="N75" s="495">
        <v>8.7673289893501594E-2</v>
      </c>
      <c r="O75" s="674">
        <v>0.52273338474857589</v>
      </c>
      <c r="P75" s="674">
        <v>0.88258469741413137</v>
      </c>
      <c r="Q75" s="674">
        <v>1.4353816730619431</v>
      </c>
      <c r="R75" s="495">
        <v>7.2451561793204278E-2</v>
      </c>
      <c r="S75" s="495">
        <v>0.2869188949295462</v>
      </c>
      <c r="T75" s="495">
        <v>0.55808568120416835</v>
      </c>
      <c r="U75" s="234"/>
      <c r="V75" s="234"/>
    </row>
    <row r="76" spans="1:22">
      <c r="A76" s="377" t="s">
        <v>693</v>
      </c>
      <c r="B76" s="673">
        <v>215</v>
      </c>
      <c r="C76" s="495">
        <v>2.5999999999999999E-2</v>
      </c>
      <c r="D76" s="495">
        <v>5.1100000000000013E-2</v>
      </c>
      <c r="E76" s="495">
        <v>9.0899999999999995E-2</v>
      </c>
      <c r="F76" s="495">
        <v>8.9021220294226606E-3</v>
      </c>
      <c r="G76" s="495">
        <v>3.1448202959830869E-2</v>
      </c>
      <c r="H76" s="495">
        <v>5.3045186640471517E-2</v>
      </c>
      <c r="I76" s="674">
        <v>2.1392077624933941</v>
      </c>
      <c r="J76" s="674">
        <v>3.1860988565769328</v>
      </c>
      <c r="K76" s="674">
        <v>4.5676691729323311</v>
      </c>
      <c r="L76" s="495">
        <v>6.8963363320228205E-2</v>
      </c>
      <c r="M76" s="495">
        <v>7.2816021815498885E-2</v>
      </c>
      <c r="N76" s="495">
        <v>8.2062012788512897E-2</v>
      </c>
      <c r="O76" s="674">
        <v>0.25101990311061362</v>
      </c>
      <c r="P76" s="674">
        <v>0.66913271827538345</v>
      </c>
      <c r="Q76" s="674">
        <v>1.1185252605799749</v>
      </c>
      <c r="R76" s="495">
        <v>9.9163584028162444E-2</v>
      </c>
      <c r="S76" s="495">
        <v>0.26221638664246949</v>
      </c>
      <c r="T76" s="495">
        <v>0.43173431734317341</v>
      </c>
      <c r="U76" s="234"/>
      <c r="V76" s="234"/>
    </row>
    <row r="77" spans="1:22">
      <c r="A77" s="377" t="s">
        <v>861</v>
      </c>
      <c r="B77" s="673">
        <v>113</v>
      </c>
      <c r="C77" s="495">
        <v>2.3800000000000002E-2</v>
      </c>
      <c r="D77" s="495">
        <v>4.7699999999999992E-2</v>
      </c>
      <c r="E77" s="495">
        <v>7.4700000000000016E-2</v>
      </c>
      <c r="F77" s="495">
        <v>0.37979584653291087</v>
      </c>
      <c r="G77" s="495">
        <v>0.58024096385542168</v>
      </c>
      <c r="H77" s="495">
        <v>0.66761720086688714</v>
      </c>
      <c r="I77" s="674">
        <v>8.177558946173151E-2</v>
      </c>
      <c r="J77" s="674">
        <v>0.1039325842696629</v>
      </c>
      <c r="K77" s="674">
        <v>0.13797352762567289</v>
      </c>
      <c r="L77" s="495">
        <v>5.4155889065586743E-2</v>
      </c>
      <c r="M77" s="495">
        <v>5.6471539882210972E-2</v>
      </c>
      <c r="N77" s="495">
        <v>6.3545625542349465E-2</v>
      </c>
      <c r="O77" s="674">
        <v>0.30910060353924629</v>
      </c>
      <c r="P77" s="674">
        <v>0.61375848220732354</v>
      </c>
      <c r="Q77" s="674">
        <v>0.80902318531251749</v>
      </c>
      <c r="R77" s="495">
        <v>0.30249784211875519</v>
      </c>
      <c r="S77" s="495">
        <v>0.41713615843260649</v>
      </c>
      <c r="T77" s="495">
        <v>0.52996108949416343</v>
      </c>
      <c r="U77" s="234"/>
      <c r="V77" s="234"/>
    </row>
    <row r="78" spans="1:22">
      <c r="A78" s="377" t="s">
        <v>694</v>
      </c>
      <c r="B78" s="673">
        <v>649</v>
      </c>
      <c r="C78" s="495">
        <v>2.6599999999999999E-2</v>
      </c>
      <c r="D78" s="495">
        <v>6.4399999999999999E-2</v>
      </c>
      <c r="E78" s="495">
        <v>0.126</v>
      </c>
      <c r="F78" s="495">
        <v>4.8315936726568389E-4</v>
      </c>
      <c r="G78" s="495">
        <v>4.0136718750000001E-2</v>
      </c>
      <c r="H78" s="495">
        <v>9.1008771929824553E-2</v>
      </c>
      <c r="I78" s="674">
        <v>1.391017860239292</v>
      </c>
      <c r="J78" s="674">
        <v>2.329650740037061</v>
      </c>
      <c r="K78" s="674">
        <v>4.2478910883947769</v>
      </c>
      <c r="L78" s="495">
        <v>7.7167051696740541E-2</v>
      </c>
      <c r="M78" s="495">
        <v>8.2774303274469122E-2</v>
      </c>
      <c r="N78" s="495">
        <v>8.9544284946074595E-2</v>
      </c>
      <c r="O78" s="674">
        <v>0.37216770905232432</v>
      </c>
      <c r="P78" s="674">
        <v>0.8487488721464953</v>
      </c>
      <c r="Q78" s="674">
        <v>1.3993570772059509</v>
      </c>
      <c r="R78" s="495">
        <v>5.3560851141386062E-2</v>
      </c>
      <c r="S78" s="495">
        <v>0.2047480076560628</v>
      </c>
      <c r="T78" s="495">
        <v>0.42147527328871492</v>
      </c>
      <c r="U78" s="234"/>
      <c r="V78" s="234"/>
    </row>
    <row r="79" spans="1:22">
      <c r="A79" s="377" t="s">
        <v>695</v>
      </c>
      <c r="B79" s="673">
        <v>91</v>
      </c>
      <c r="C79" s="495">
        <v>1.77E-2</v>
      </c>
      <c r="D79" s="495">
        <v>8.2400000000000001E-2</v>
      </c>
      <c r="E79" s="495">
        <v>0.13200000000000001</v>
      </c>
      <c r="F79" s="495">
        <v>2.503015681544029E-2</v>
      </c>
      <c r="G79" s="495">
        <v>5.7526609224531157E-2</v>
      </c>
      <c r="H79" s="495">
        <v>9.4869912731424852E-2</v>
      </c>
      <c r="I79" s="674">
        <v>0.94411810411810404</v>
      </c>
      <c r="J79" s="674">
        <v>1.3229562737642591</v>
      </c>
      <c r="K79" s="674">
        <v>1.7624178515779969</v>
      </c>
      <c r="L79" s="495">
        <v>7.6292487187730851E-2</v>
      </c>
      <c r="M79" s="495">
        <v>8.1110369056739046E-2</v>
      </c>
      <c r="N79" s="495">
        <v>9.3157727239721405E-2</v>
      </c>
      <c r="O79" s="674">
        <v>0.41708286084795121</v>
      </c>
      <c r="P79" s="674">
        <v>0.9602441336884644</v>
      </c>
      <c r="Q79" s="674">
        <v>1.41428011604779</v>
      </c>
      <c r="R79" s="495">
        <v>9.2294665537679926E-2</v>
      </c>
      <c r="S79" s="495">
        <v>0.27782724844167411</v>
      </c>
      <c r="T79" s="495">
        <v>0.44753577106518277</v>
      </c>
      <c r="U79" s="234"/>
      <c r="V79" s="234"/>
    </row>
    <row r="80" spans="1:22">
      <c r="A80" s="377" t="s">
        <v>696</v>
      </c>
      <c r="B80" s="673">
        <v>675</v>
      </c>
      <c r="C80" s="495">
        <v>7.3899999999999993E-2</v>
      </c>
      <c r="D80" s="495">
        <v>0.18</v>
      </c>
      <c r="E80" s="495">
        <v>0.32200000000000001</v>
      </c>
      <c r="F80" s="495">
        <v>-0.15033500837520941</v>
      </c>
      <c r="G80" s="495">
        <v>1.4395393474088291E-2</v>
      </c>
      <c r="H80" s="495">
        <v>0.1151098901098901</v>
      </c>
      <c r="I80" s="674">
        <v>0.48859463669745201</v>
      </c>
      <c r="J80" s="674">
        <v>0.88717948717948725</v>
      </c>
      <c r="K80" s="674">
        <v>1.640402347024309</v>
      </c>
      <c r="L80" s="495">
        <v>0.12704762028665009</v>
      </c>
      <c r="M80" s="495">
        <v>0.13217402531670999</v>
      </c>
      <c r="N80" s="495">
        <v>0.1340237631173519</v>
      </c>
      <c r="O80" s="674">
        <v>1.217704957526992</v>
      </c>
      <c r="P80" s="674">
        <v>1.8480634199892421</v>
      </c>
      <c r="Q80" s="674">
        <v>2.4508257086787548</v>
      </c>
      <c r="R80" s="495">
        <v>5.2599563459405302E-3</v>
      </c>
      <c r="S80" s="495">
        <v>5.2513741415512093E-2</v>
      </c>
      <c r="T80" s="495">
        <v>0.18492170216457729</v>
      </c>
      <c r="U80" s="234"/>
      <c r="V80" s="234"/>
    </row>
    <row r="81" spans="1:22">
      <c r="A81" s="377" t="s">
        <v>697</v>
      </c>
      <c r="B81" s="673">
        <v>391</v>
      </c>
      <c r="C81" s="495">
        <v>6.2199999999999998E-2</v>
      </c>
      <c r="D81" s="495">
        <v>0.125</v>
      </c>
      <c r="E81" s="495">
        <v>0.23799999999999999</v>
      </c>
      <c r="F81" s="495">
        <v>-3.7721893491124259E-2</v>
      </c>
      <c r="G81" s="495">
        <v>7.6732673267326731E-2</v>
      </c>
      <c r="H81" s="495">
        <v>0.1795096322241681</v>
      </c>
      <c r="I81" s="674">
        <v>0.49484536082474229</v>
      </c>
      <c r="J81" s="674">
        <v>0.86503067484662577</v>
      </c>
      <c r="K81" s="674">
        <v>1.4354794142028191</v>
      </c>
      <c r="L81" s="495">
        <v>0.1353375421449724</v>
      </c>
      <c r="M81" s="495">
        <v>0.14217773604899839</v>
      </c>
      <c r="N81" s="495">
        <v>0.14557405610501181</v>
      </c>
      <c r="O81" s="674">
        <v>1.368746429322774</v>
      </c>
      <c r="P81" s="674">
        <v>2.1112976120541851</v>
      </c>
      <c r="Q81" s="674">
        <v>2.856299144698176</v>
      </c>
      <c r="R81" s="495">
        <v>1.245082532343756E-2</v>
      </c>
      <c r="S81" s="495">
        <v>7.7049180327868866E-2</v>
      </c>
      <c r="T81" s="495">
        <v>0.23306931503655939</v>
      </c>
      <c r="U81" s="234"/>
      <c r="V81" s="234"/>
    </row>
    <row r="82" spans="1:22">
      <c r="A82" s="377" t="s">
        <v>698</v>
      </c>
      <c r="B82" s="673">
        <v>359</v>
      </c>
      <c r="C82" s="495">
        <v>-1.7600000000000001E-2</v>
      </c>
      <c r="D82" s="495">
        <v>2.4500000000000001E-2</v>
      </c>
      <c r="E82" s="495">
        <v>8.6400000000000005E-2</v>
      </c>
      <c r="F82" s="495">
        <v>3.2770270270270269E-2</v>
      </c>
      <c r="G82" s="495">
        <v>0.123110151187905</v>
      </c>
      <c r="H82" s="495">
        <v>0.23560306935856359</v>
      </c>
      <c r="I82" s="674">
        <v>0.34345476070633613</v>
      </c>
      <c r="J82" s="674">
        <v>0.59906995551961184</v>
      </c>
      <c r="K82" s="674">
        <v>1.111090227919157</v>
      </c>
      <c r="L82" s="495">
        <v>7.5976928335563992E-2</v>
      </c>
      <c r="M82" s="495">
        <v>8.0604239516726919E-2</v>
      </c>
      <c r="N82" s="495">
        <v>9.3842812504406931E-2</v>
      </c>
      <c r="O82" s="674">
        <v>0.32668160193726142</v>
      </c>
      <c r="P82" s="674">
        <v>0.7804483420589714</v>
      </c>
      <c r="Q82" s="674">
        <v>1.392869291568942</v>
      </c>
      <c r="R82" s="495">
        <v>5.9686562187395813E-2</v>
      </c>
      <c r="S82" s="495">
        <v>0.22330097087378639</v>
      </c>
      <c r="T82" s="495">
        <v>0.45816671793294372</v>
      </c>
      <c r="U82" s="234"/>
      <c r="V82" s="234"/>
    </row>
    <row r="83" spans="1:22">
      <c r="A83" s="377" t="s">
        <v>699</v>
      </c>
      <c r="B83" s="673">
        <v>84</v>
      </c>
      <c r="C83" s="495">
        <v>1.34E-2</v>
      </c>
      <c r="D83" s="495">
        <v>5.9800000000000013E-2</v>
      </c>
      <c r="E83" s="495">
        <v>0.111</v>
      </c>
      <c r="F83" s="495">
        <v>-2.1394395078605601E-2</v>
      </c>
      <c r="G83" s="495">
        <v>6.1960784313725488E-2</v>
      </c>
      <c r="H83" s="495">
        <v>0.1117400419287212</v>
      </c>
      <c r="I83" s="674">
        <v>1.0041438561727549</v>
      </c>
      <c r="J83" s="674">
        <v>1.569374600146217</v>
      </c>
      <c r="K83" s="674">
        <v>2.4146466769417589</v>
      </c>
      <c r="L83" s="495">
        <v>8.2304173338351383E-2</v>
      </c>
      <c r="M83" s="495">
        <v>8.4697422202062028E-2</v>
      </c>
      <c r="N83" s="495">
        <v>0.10129087856563961</v>
      </c>
      <c r="O83" s="674">
        <v>0.25125569865777758</v>
      </c>
      <c r="P83" s="674">
        <v>0.87304449472499235</v>
      </c>
      <c r="Q83" s="674">
        <v>1.576060102485668</v>
      </c>
      <c r="R83" s="495">
        <v>2.1007136395617649E-2</v>
      </c>
      <c r="S83" s="495">
        <v>0.11149593712534971</v>
      </c>
      <c r="T83" s="495">
        <v>0.34815299117358611</v>
      </c>
      <c r="U83" s="234"/>
      <c r="V83" s="234"/>
    </row>
    <row r="84" spans="1:22">
      <c r="A84" s="377" t="s">
        <v>700</v>
      </c>
      <c r="B84" s="673">
        <v>298</v>
      </c>
      <c r="C84" s="495">
        <v>4.0199999999999993E-2</v>
      </c>
      <c r="D84" s="495">
        <v>0.10299999999999999</v>
      </c>
      <c r="E84" s="495">
        <v>0.182</v>
      </c>
      <c r="F84" s="495">
        <v>-9.722222222222221E-2</v>
      </c>
      <c r="G84" s="495">
        <v>3.7472766884531591E-2</v>
      </c>
      <c r="H84" s="495">
        <v>0.14863258026159329</v>
      </c>
      <c r="I84" s="674">
        <v>0.97122302158273355</v>
      </c>
      <c r="J84" s="674">
        <v>2.3859315589353618</v>
      </c>
      <c r="K84" s="674">
        <v>5.9470752089136507</v>
      </c>
      <c r="L84" s="495">
        <v>9.0533277875616949E-2</v>
      </c>
      <c r="M84" s="495">
        <v>9.5804392340633204E-2</v>
      </c>
      <c r="N84" s="495">
        <v>0.1010157089936661</v>
      </c>
      <c r="O84" s="674">
        <v>0.56909299266274693</v>
      </c>
      <c r="P84" s="674">
        <v>1.107747072811117</v>
      </c>
      <c r="Q84" s="674">
        <v>1.7572985077444081</v>
      </c>
      <c r="R84" s="495">
        <v>3.140630452483425E-3</v>
      </c>
      <c r="S84" s="495">
        <v>4.2397660818713448E-2</v>
      </c>
      <c r="T84" s="495">
        <v>0.26773393898094111</v>
      </c>
      <c r="U84" s="234"/>
      <c r="V84" s="234"/>
    </row>
    <row r="85" spans="1:22">
      <c r="A85" s="377" t="s">
        <v>701</v>
      </c>
      <c r="B85" s="673">
        <v>150</v>
      </c>
      <c r="C85" s="495">
        <v>5.1499999999999997E-2</v>
      </c>
      <c r="D85" s="495">
        <v>0.10299999999999999</v>
      </c>
      <c r="E85" s="495">
        <v>0.21299999999999999</v>
      </c>
      <c r="F85" s="495">
        <v>-0.1177892918825561</v>
      </c>
      <c r="G85" s="495">
        <v>4.0736478711162247E-2</v>
      </c>
      <c r="H85" s="495">
        <v>0.1053027802503629</v>
      </c>
      <c r="I85" s="674">
        <v>0.68856285428476161</v>
      </c>
      <c r="J85" s="674">
        <v>1.3611111111111109</v>
      </c>
      <c r="K85" s="674">
        <v>3.6623748211731049</v>
      </c>
      <c r="L85" s="495">
        <v>9.6839012266529703E-2</v>
      </c>
      <c r="M85" s="495">
        <v>0.10353627400323551</v>
      </c>
      <c r="N85" s="495">
        <v>0.1079572288388996</v>
      </c>
      <c r="O85" s="674">
        <v>0.67906898154548467</v>
      </c>
      <c r="P85" s="674">
        <v>1.201981027563686</v>
      </c>
      <c r="Q85" s="674">
        <v>1.986234607292739</v>
      </c>
      <c r="R85" s="495">
        <v>1.3980480084410451E-2</v>
      </c>
      <c r="S85" s="495">
        <v>0.10296411856474259</v>
      </c>
      <c r="T85" s="495">
        <v>0.26139088729016791</v>
      </c>
      <c r="U85" s="234"/>
      <c r="V85" s="234"/>
    </row>
    <row r="86" spans="1:22">
      <c r="A86" s="377" t="s">
        <v>702</v>
      </c>
      <c r="B86" s="673">
        <v>1532</v>
      </c>
      <c r="C86" s="495">
        <v>6.3799999999999996E-2</v>
      </c>
      <c r="D86" s="495">
        <v>0.13</v>
      </c>
      <c r="E86" s="495">
        <v>0.20899999999999999</v>
      </c>
      <c r="F86" s="495">
        <v>-0.22443015780245471</v>
      </c>
      <c r="G86" s="495">
        <v>6.3013741537308078E-3</v>
      </c>
      <c r="H86" s="495">
        <v>0.1211717709720373</v>
      </c>
      <c r="I86" s="674">
        <v>0.64026646928201325</v>
      </c>
      <c r="J86" s="674">
        <v>1.5284210526315789</v>
      </c>
      <c r="K86" s="674">
        <v>3.584070796460177</v>
      </c>
      <c r="L86" s="495">
        <v>9.6106865515973638E-2</v>
      </c>
      <c r="M86" s="495">
        <v>0.1040061472074673</v>
      </c>
      <c r="N86" s="495">
        <v>0.1077651873120357</v>
      </c>
      <c r="O86" s="674">
        <v>0.6648015265935443</v>
      </c>
      <c r="P86" s="674">
        <v>1.202697825791081</v>
      </c>
      <c r="Q86" s="674">
        <v>1.891241916021585</v>
      </c>
      <c r="R86" s="495">
        <v>2.7779430407263838E-3</v>
      </c>
      <c r="S86" s="495">
        <v>3.1877213695395507E-2</v>
      </c>
      <c r="T86" s="495">
        <v>0.14378432351472789</v>
      </c>
      <c r="U86" s="234"/>
      <c r="V86" s="234"/>
    </row>
    <row r="87" spans="1:22">
      <c r="A87" s="377" t="s">
        <v>703</v>
      </c>
      <c r="B87" s="673">
        <v>719</v>
      </c>
      <c r="C87" s="495">
        <v>-2.5400000000000002E-3</v>
      </c>
      <c r="D87" s="495">
        <v>4.7600000000000003E-2</v>
      </c>
      <c r="E87" s="495">
        <v>0.112</v>
      </c>
      <c r="F87" s="495">
        <v>-1.0489604292421189E-2</v>
      </c>
      <c r="G87" s="495">
        <v>2.8537642885297601E-2</v>
      </c>
      <c r="H87" s="495">
        <v>7.7771883289124683E-2</v>
      </c>
      <c r="I87" s="674">
        <v>0.73291970538079165</v>
      </c>
      <c r="J87" s="674">
        <v>1.204839457069488</v>
      </c>
      <c r="K87" s="674">
        <v>1.899309342057433</v>
      </c>
      <c r="L87" s="495">
        <v>8.229132167925568E-2</v>
      </c>
      <c r="M87" s="495">
        <v>8.7257672755413171E-2</v>
      </c>
      <c r="N87" s="495">
        <v>0.1037775751399355</v>
      </c>
      <c r="O87" s="674">
        <v>0.56926053361179985</v>
      </c>
      <c r="P87" s="674">
        <v>1.1537579617501681</v>
      </c>
      <c r="Q87" s="674">
        <v>1.6984493364920501</v>
      </c>
      <c r="R87" s="495">
        <v>2.5324537135560762E-2</v>
      </c>
      <c r="S87" s="495">
        <v>0.2180616740088106</v>
      </c>
      <c r="T87" s="495">
        <v>0.47634661053540578</v>
      </c>
      <c r="U87" s="234"/>
      <c r="V87" s="234"/>
    </row>
    <row r="88" spans="1:22">
      <c r="A88" s="377" t="s">
        <v>704</v>
      </c>
      <c r="B88" s="673">
        <v>101</v>
      </c>
      <c r="C88" s="495">
        <v>2.47E-2</v>
      </c>
      <c r="D88" s="495">
        <v>4.9599999999999998E-2</v>
      </c>
      <c r="E88" s="495">
        <v>9.3000000000000013E-2</v>
      </c>
      <c r="F88" s="495">
        <v>6.6447635272166794E-2</v>
      </c>
      <c r="G88" s="495">
        <v>0.14236390752660749</v>
      </c>
      <c r="H88" s="495">
        <v>0.2225802986357289</v>
      </c>
      <c r="I88" s="674">
        <v>0.62979616123076176</v>
      </c>
      <c r="J88" s="674">
        <v>0.89658522307986899</v>
      </c>
      <c r="K88" s="674">
        <v>1.893256401009737</v>
      </c>
      <c r="L88" s="495">
        <v>6.6385822143462753E-2</v>
      </c>
      <c r="M88" s="495">
        <v>7.0483815547314338E-2</v>
      </c>
      <c r="N88" s="495">
        <v>8.0799877265898434E-2</v>
      </c>
      <c r="O88" s="674">
        <v>0.27499427522802677</v>
      </c>
      <c r="P88" s="674">
        <v>0.54362083351794044</v>
      </c>
      <c r="Q88" s="674">
        <v>1.0145876026376579</v>
      </c>
      <c r="R88" s="495">
        <v>5.6906056119600167E-2</v>
      </c>
      <c r="S88" s="495">
        <v>0.21650908747835121</v>
      </c>
      <c r="T88" s="495">
        <v>0.38026721479958892</v>
      </c>
      <c r="U88" s="379"/>
      <c r="V88" s="379"/>
    </row>
    <row r="89" spans="1:22">
      <c r="A89" s="377" t="s">
        <v>705</v>
      </c>
      <c r="B89" s="673">
        <v>437</v>
      </c>
      <c r="C89" s="495">
        <v>4.9799999999999997E-2</v>
      </c>
      <c r="D89" s="495">
        <v>0.11899999999999999</v>
      </c>
      <c r="E89" s="495">
        <v>0.24</v>
      </c>
      <c r="F89" s="495">
        <v>-8.8809310653536255E-2</v>
      </c>
      <c r="G89" s="495">
        <v>1.7423983600956611E-2</v>
      </c>
      <c r="H89" s="495">
        <v>7.3529411764705871E-2</v>
      </c>
      <c r="I89" s="674">
        <v>0.66022079515116516</v>
      </c>
      <c r="J89" s="674">
        <v>1.2278162686117431</v>
      </c>
      <c r="K89" s="674">
        <v>2.1676413255360618</v>
      </c>
      <c r="L89" s="495">
        <v>9.738752508521667E-2</v>
      </c>
      <c r="M89" s="495">
        <v>0.103163217023997</v>
      </c>
      <c r="N89" s="495">
        <v>0.1059952888872719</v>
      </c>
      <c r="O89" s="674">
        <v>0.73826901783564158</v>
      </c>
      <c r="P89" s="674">
        <v>1.2808193101296399</v>
      </c>
      <c r="Q89" s="674">
        <v>1.8985215963443931</v>
      </c>
      <c r="R89" s="495">
        <v>1.2898482924547219E-2</v>
      </c>
      <c r="S89" s="495">
        <v>7.5757575757575746E-2</v>
      </c>
      <c r="T89" s="495">
        <v>0.21753396564983341</v>
      </c>
      <c r="U89" s="379"/>
      <c r="V89" s="379"/>
    </row>
    <row r="90" spans="1:22">
      <c r="A90" s="377" t="s">
        <v>706</v>
      </c>
      <c r="B90" s="673">
        <v>283</v>
      </c>
      <c r="C90" s="495">
        <v>1.8700000000000001E-2</v>
      </c>
      <c r="D90" s="495">
        <v>3.7999999999999999E-2</v>
      </c>
      <c r="E90" s="495">
        <v>8.9200000000000002E-2</v>
      </c>
      <c r="F90" s="495">
        <v>3.122270742358078E-2</v>
      </c>
      <c r="G90" s="495">
        <v>0.10855453119432509</v>
      </c>
      <c r="H90" s="495">
        <v>0.20566318926974669</v>
      </c>
      <c r="I90" s="674">
        <v>0.53438258121886573</v>
      </c>
      <c r="J90" s="674">
        <v>0.91887371062168954</v>
      </c>
      <c r="K90" s="674">
        <v>1.996979358952844</v>
      </c>
      <c r="L90" s="495">
        <v>6.1621758474871988E-2</v>
      </c>
      <c r="M90" s="495">
        <v>6.5130948429932625E-2</v>
      </c>
      <c r="N90" s="495">
        <v>7.3211779910545755E-2</v>
      </c>
      <c r="O90" s="674">
        <v>0.21977021837288241</v>
      </c>
      <c r="P90" s="674">
        <v>0.6231126990748338</v>
      </c>
      <c r="Q90" s="674">
        <v>1.1030053320177879</v>
      </c>
      <c r="R90" s="495">
        <v>3.9129947303509348E-2</v>
      </c>
      <c r="S90" s="495">
        <v>0.2418397626112759</v>
      </c>
      <c r="T90" s="495">
        <v>0.4739663093415008</v>
      </c>
      <c r="U90" s="379"/>
      <c r="V90" s="379"/>
    </row>
    <row r="91" spans="1:22">
      <c r="A91" s="377" t="s">
        <v>707</v>
      </c>
      <c r="B91" s="673">
        <v>48</v>
      </c>
      <c r="C91" s="495">
        <v>-6.45E-3</v>
      </c>
      <c r="D91" s="495">
        <v>7.2700000000000015E-2</v>
      </c>
      <c r="E91" s="495">
        <v>0.16</v>
      </c>
      <c r="F91" s="495">
        <v>5.8764901530337053E-2</v>
      </c>
      <c r="G91" s="495">
        <v>0.16986933128362799</v>
      </c>
      <c r="H91" s="495">
        <v>0.31277777149513158</v>
      </c>
      <c r="I91" s="674">
        <v>0.62692476902771666</v>
      </c>
      <c r="J91" s="674">
        <v>1.266824675289026</v>
      </c>
      <c r="K91" s="674">
        <v>2.5668297525349222</v>
      </c>
      <c r="L91" s="495">
        <v>5.523681741638059E-2</v>
      </c>
      <c r="M91" s="495">
        <v>6.2805016752438353E-2</v>
      </c>
      <c r="N91" s="495">
        <v>6.9668029403657628E-2</v>
      </c>
      <c r="O91" s="674">
        <v>-8.6000144990037844E-2</v>
      </c>
      <c r="P91" s="674">
        <v>0.2291345985967895</v>
      </c>
      <c r="Q91" s="674">
        <v>0.80970980218006305</v>
      </c>
      <c r="R91" s="495">
        <v>1.36775221177652E-3</v>
      </c>
      <c r="S91" s="495">
        <v>0.15003353864663579</v>
      </c>
      <c r="T91" s="495">
        <v>0.3079550305962715</v>
      </c>
      <c r="U91" s="379"/>
      <c r="V91" s="379"/>
    </row>
    <row r="92" spans="1:22">
      <c r="A92" s="377" t="s">
        <v>708</v>
      </c>
      <c r="B92" s="673">
        <v>451</v>
      </c>
      <c r="C92" s="495">
        <v>2.6599999999999999E-2</v>
      </c>
      <c r="D92" s="495">
        <v>6.6299999999999998E-2</v>
      </c>
      <c r="E92" s="495">
        <v>0.11600000000000001</v>
      </c>
      <c r="F92" s="495">
        <v>1.053387112844717E-2</v>
      </c>
      <c r="G92" s="495">
        <v>5.6590909090909088E-2</v>
      </c>
      <c r="H92" s="495">
        <v>0.1291479820627803</v>
      </c>
      <c r="I92" s="674">
        <v>0.54149105423284105</v>
      </c>
      <c r="J92" s="674">
        <v>1.491146318732526</v>
      </c>
      <c r="K92" s="674">
        <v>2.9155688622754492</v>
      </c>
      <c r="L92" s="495">
        <v>7.3717826937759245E-2</v>
      </c>
      <c r="M92" s="495">
        <v>7.7413695688523243E-2</v>
      </c>
      <c r="N92" s="495">
        <v>8.9652480312842953E-2</v>
      </c>
      <c r="O92" s="674">
        <v>0.35182743186972693</v>
      </c>
      <c r="P92" s="674">
        <v>0.82490036006448531</v>
      </c>
      <c r="Q92" s="674">
        <v>1.36843716185808</v>
      </c>
      <c r="R92" s="495">
        <v>7.0989761092150189E-2</v>
      </c>
      <c r="S92" s="495">
        <v>0.26903290516711431</v>
      </c>
      <c r="T92" s="495">
        <v>0.48765792031098149</v>
      </c>
      <c r="U92" s="379"/>
      <c r="V92" s="379"/>
    </row>
    <row r="93" spans="1:22">
      <c r="A93" s="377" t="s">
        <v>709</v>
      </c>
      <c r="B93" s="673">
        <v>54</v>
      </c>
      <c r="C93" s="495">
        <v>2.3400000000000001E-2</v>
      </c>
      <c r="D93" s="495">
        <v>3.4700000000000002E-2</v>
      </c>
      <c r="E93" s="495">
        <v>4.5999999999999999E-2</v>
      </c>
      <c r="F93" s="495">
        <v>7.7153558052434457E-2</v>
      </c>
      <c r="G93" s="495">
        <v>0.1154679697860609</v>
      </c>
      <c r="H93" s="495">
        <v>0.28029890915337707</v>
      </c>
      <c r="I93" s="674">
        <v>0.36650084044175513</v>
      </c>
      <c r="J93" s="674">
        <v>0.48630259697402689</v>
      </c>
      <c r="K93" s="674">
        <v>0.81291707759029153</v>
      </c>
      <c r="L93" s="495">
        <v>6.0929429175277043E-2</v>
      </c>
      <c r="M93" s="495">
        <v>6.3455538624219057E-2</v>
      </c>
      <c r="N93" s="495">
        <v>6.7863635090197605E-2</v>
      </c>
      <c r="O93" s="674">
        <v>0.36807836602336702</v>
      </c>
      <c r="P93" s="674">
        <v>0.65633932435801834</v>
      </c>
      <c r="Q93" s="674">
        <v>1.001124020173662</v>
      </c>
      <c r="R93" s="495">
        <v>0.10238184387569001</v>
      </c>
      <c r="S93" s="495">
        <v>0.44626893096243131</v>
      </c>
      <c r="T93" s="495">
        <v>0.61124999999999996</v>
      </c>
      <c r="U93" s="379"/>
      <c r="V93" s="379"/>
    </row>
    <row r="94" spans="1:22">
      <c r="A94" s="377" t="s">
        <v>710</v>
      </c>
      <c r="B94" s="673">
        <v>130</v>
      </c>
      <c r="C94" s="495">
        <v>1.7600000000000001E-2</v>
      </c>
      <c r="D94" s="495">
        <v>4.36E-2</v>
      </c>
      <c r="E94" s="495">
        <v>9.11E-2</v>
      </c>
      <c r="F94" s="495">
        <v>1.8116975748930099E-2</v>
      </c>
      <c r="G94" s="495">
        <v>5.1419558359621448E-2</v>
      </c>
      <c r="H94" s="495">
        <v>9.0953029161904633E-2</v>
      </c>
      <c r="I94" s="674">
        <v>0.80760726090985002</v>
      </c>
      <c r="J94" s="674">
        <v>1.437075421028712</v>
      </c>
      <c r="K94" s="674">
        <v>2.6007802340702209</v>
      </c>
      <c r="L94" s="495">
        <v>6.8288138362869788E-2</v>
      </c>
      <c r="M94" s="495">
        <v>7.3149288414716129E-2</v>
      </c>
      <c r="N94" s="495">
        <v>8.5522653416818001E-2</v>
      </c>
      <c r="O94" s="674">
        <v>0.42457664941554779</v>
      </c>
      <c r="P94" s="674">
        <v>0.82012973675976886</v>
      </c>
      <c r="Q94" s="674">
        <v>1.286204819282647</v>
      </c>
      <c r="R94" s="495">
        <v>0.11504042861124041</v>
      </c>
      <c r="S94" s="495">
        <v>0.26017291567102568</v>
      </c>
      <c r="T94" s="495">
        <v>0.45675640904067583</v>
      </c>
      <c r="U94" s="379"/>
      <c r="V94" s="379"/>
    </row>
    <row r="95" spans="1:22">
      <c r="A95" s="377" t="s">
        <v>711</v>
      </c>
      <c r="B95" s="673">
        <v>52</v>
      </c>
      <c r="C95" s="495">
        <v>1.55E-2</v>
      </c>
      <c r="D95" s="495">
        <v>4.82E-2</v>
      </c>
      <c r="E95" s="495">
        <v>7.1500000000000008E-2</v>
      </c>
      <c r="F95" s="495">
        <v>7.8587278106508895E-2</v>
      </c>
      <c r="G95" s="495">
        <v>0.17004702427913271</v>
      </c>
      <c r="H95" s="495">
        <v>0.2312907201972178</v>
      </c>
      <c r="I95" s="674">
        <v>0.28998268073647171</v>
      </c>
      <c r="J95" s="674">
        <v>0.37040666103535652</v>
      </c>
      <c r="K95" s="674">
        <v>1.5775116073202899</v>
      </c>
      <c r="L95" s="495">
        <v>5.2244032366047799E-2</v>
      </c>
      <c r="M95" s="495">
        <v>5.4580590284410271E-2</v>
      </c>
      <c r="N95" s="495">
        <v>5.6395169233671189E-2</v>
      </c>
      <c r="O95" s="674">
        <v>0.20401869547241991</v>
      </c>
      <c r="P95" s="674">
        <v>0.44887888245480179</v>
      </c>
      <c r="Q95" s="674">
        <v>0.79036968879812275</v>
      </c>
      <c r="R95" s="495">
        <v>0.34240516291515821</v>
      </c>
      <c r="S95" s="495">
        <v>0.45886397374794913</v>
      </c>
      <c r="T95" s="495">
        <v>0.5111797006243598</v>
      </c>
      <c r="U95" s="379"/>
      <c r="V95" s="379"/>
    </row>
    <row r="96" spans="1:22">
      <c r="A96" s="377" t="s">
        <v>712</v>
      </c>
      <c r="B96" s="673">
        <v>106</v>
      </c>
      <c r="C96" s="495">
        <v>2.4299999999999999E-2</v>
      </c>
      <c r="D96" s="495">
        <v>6.7699999999999996E-2</v>
      </c>
      <c r="E96" s="495">
        <v>0.14399999999999999</v>
      </c>
      <c r="F96" s="495">
        <v>5.3398058252427182E-2</v>
      </c>
      <c r="G96" s="495">
        <v>0.22417777777777781</v>
      </c>
      <c r="H96" s="495">
        <v>0.29970011534025381</v>
      </c>
      <c r="I96" s="674">
        <v>0.22060203090798369</v>
      </c>
      <c r="J96" s="674">
        <v>0.32630968176488012</v>
      </c>
      <c r="K96" s="674">
        <v>0.61309151553053998</v>
      </c>
      <c r="L96" s="495">
        <v>5.877981689083718E-2</v>
      </c>
      <c r="M96" s="495">
        <v>6.1600650649143912E-2</v>
      </c>
      <c r="N96" s="495">
        <v>6.5032801578017579E-2</v>
      </c>
      <c r="O96" s="674">
        <v>0.2261319207875683</v>
      </c>
      <c r="P96" s="674">
        <v>0.57371493681320962</v>
      </c>
      <c r="Q96" s="674">
        <v>1.0854336418576671</v>
      </c>
      <c r="R96" s="495">
        <v>0.115983026874116</v>
      </c>
      <c r="S96" s="495">
        <v>0.34996079760971371</v>
      </c>
      <c r="T96" s="495">
        <v>0.61848496783510565</v>
      </c>
      <c r="U96" s="379"/>
      <c r="V96" s="379"/>
    </row>
  </sheetData>
  <mergeCells count="5">
    <mergeCell ref="C1:E1"/>
    <mergeCell ref="F1:H1"/>
    <mergeCell ref="I1:K1"/>
    <mergeCell ref="L1:N1"/>
    <mergeCell ref="R1:T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45"/>
  <sheetViews>
    <sheetView workbookViewId="0">
      <selection sqref="A1:F4"/>
    </sheetView>
  </sheetViews>
  <sheetFormatPr baseColWidth="10" defaultRowHeight="13"/>
  <cols>
    <col min="1" max="1" width="34" bestFit="1" customWidth="1"/>
    <col min="2" max="2" width="16" style="92" customWidth="1"/>
    <col min="3" max="3" width="19.83203125" style="92" bestFit="1" customWidth="1"/>
    <col min="4" max="4" width="22.1640625" style="92" bestFit="1" customWidth="1"/>
    <col min="5" max="5" width="14.1640625" bestFit="1" customWidth="1"/>
  </cols>
  <sheetData>
    <row r="1" spans="1:6">
      <c r="A1" s="660" t="s">
        <v>888</v>
      </c>
      <c r="B1" s="661"/>
      <c r="C1" s="661"/>
      <c r="D1" s="661"/>
      <c r="E1" s="661"/>
      <c r="F1" s="662"/>
    </row>
    <row r="2" spans="1:6">
      <c r="A2" s="663"/>
      <c r="B2" s="664"/>
      <c r="C2" s="664"/>
      <c r="D2" s="664"/>
      <c r="E2" s="664"/>
      <c r="F2" s="665"/>
    </row>
    <row r="3" spans="1:6">
      <c r="A3" s="663"/>
      <c r="B3" s="664"/>
      <c r="C3" s="664"/>
      <c r="D3" s="664"/>
      <c r="E3" s="664"/>
      <c r="F3" s="665"/>
    </row>
    <row r="4" spans="1:6" ht="14" thickBot="1">
      <c r="A4" s="666"/>
      <c r="B4" s="667"/>
      <c r="C4" s="667"/>
      <c r="D4" s="667"/>
      <c r="E4" s="667"/>
      <c r="F4" s="668"/>
    </row>
    <row r="6" spans="1:6">
      <c r="B6" s="80" t="s">
        <v>887</v>
      </c>
      <c r="C6" s="80" t="s">
        <v>400</v>
      </c>
      <c r="D6" s="80" t="s">
        <v>401</v>
      </c>
      <c r="E6" s="80" t="s">
        <v>372</v>
      </c>
    </row>
    <row r="7" spans="1:6" ht="14">
      <c r="A7" s="36" t="s">
        <v>5</v>
      </c>
      <c r="B7" s="96">
        <v>15794.34</v>
      </c>
      <c r="C7" s="96">
        <v>7608.13</v>
      </c>
      <c r="D7" s="96">
        <v>9444.11</v>
      </c>
      <c r="E7" s="97">
        <f>B7-C7+D7</f>
        <v>17630.32</v>
      </c>
    </row>
    <row r="8" spans="1:6" ht="14">
      <c r="A8" s="36" t="s">
        <v>588</v>
      </c>
      <c r="B8" s="96">
        <v>1221.81</v>
      </c>
      <c r="C8" s="96">
        <v>581.41</v>
      </c>
      <c r="D8" s="96">
        <v>756</v>
      </c>
      <c r="E8" s="97">
        <f>B8-C8+D8</f>
        <v>1396.4</v>
      </c>
    </row>
    <row r="9" spans="1:6" ht="14">
      <c r="A9" s="36" t="s">
        <v>23</v>
      </c>
      <c r="B9" s="96">
        <v>1605.23</v>
      </c>
      <c r="C9" s="96">
        <v>908.79</v>
      </c>
      <c r="D9" s="96">
        <v>1165.5</v>
      </c>
      <c r="E9" s="97">
        <f>B9-C9+D9</f>
        <v>1861.94</v>
      </c>
    </row>
    <row r="10" spans="1:6" ht="14">
      <c r="A10" s="36" t="s">
        <v>410</v>
      </c>
      <c r="B10" s="96">
        <v>420.49</v>
      </c>
      <c r="C10" s="96">
        <v>182.82</v>
      </c>
      <c r="D10" s="96">
        <v>287.56</v>
      </c>
      <c r="E10" s="97">
        <f>B10-C10+D10</f>
        <v>525.23</v>
      </c>
    </row>
    <row r="11" spans="1:6" ht="14">
      <c r="A11" s="36" t="s">
        <v>24</v>
      </c>
      <c r="B11" s="96">
        <v>5238.7700000000004</v>
      </c>
      <c r="C11" s="96"/>
      <c r="D11" s="96">
        <v>6105.55</v>
      </c>
      <c r="E11" s="97"/>
    </row>
    <row r="12" spans="1:6" ht="14">
      <c r="A12" s="36" t="s">
        <v>25</v>
      </c>
      <c r="B12" s="96">
        <v>10360</v>
      </c>
      <c r="C12" s="96"/>
      <c r="D12" s="96">
        <v>12594.14</v>
      </c>
      <c r="E12" s="97"/>
    </row>
    <row r="13" spans="1:6" ht="14">
      <c r="A13" s="36" t="s">
        <v>225</v>
      </c>
      <c r="B13" s="96"/>
      <c r="C13" s="96"/>
      <c r="D13" s="96"/>
      <c r="E13" s="97"/>
    </row>
    <row r="14" spans="1:6" ht="14">
      <c r="A14" s="36" t="s">
        <v>226</v>
      </c>
      <c r="B14" s="96">
        <v>3794.48</v>
      </c>
      <c r="C14" s="96"/>
      <c r="D14" s="96">
        <v>5004.25</v>
      </c>
      <c r="E14" s="97"/>
    </row>
    <row r="15" spans="1:6" ht="14">
      <c r="A15" s="36" t="s">
        <v>364</v>
      </c>
      <c r="B15" s="96">
        <v>0</v>
      </c>
      <c r="C15" s="96"/>
      <c r="D15" s="96">
        <v>0</v>
      </c>
      <c r="E15" s="97"/>
    </row>
    <row r="16" spans="1:6" ht="14">
      <c r="A16" s="36" t="s">
        <v>368</v>
      </c>
      <c r="B16" s="96">
        <v>0</v>
      </c>
      <c r="C16" s="96"/>
      <c r="D16" s="96">
        <v>0</v>
      </c>
      <c r="E16" s="97"/>
    </row>
    <row r="17" spans="1:5" ht="14">
      <c r="A17" s="36" t="s">
        <v>26</v>
      </c>
      <c r="B17" s="96"/>
      <c r="C17" s="96"/>
      <c r="D17" s="96"/>
      <c r="E17" s="97"/>
    </row>
    <row r="18" spans="1:5" ht="14">
      <c r="A18" s="36" t="s">
        <v>27</v>
      </c>
      <c r="B18" s="98"/>
      <c r="C18" s="96"/>
      <c r="D18" s="96"/>
      <c r="E18" s="97"/>
    </row>
    <row r="19" spans="1:5" ht="14">
      <c r="A19" s="36" t="s">
        <v>94</v>
      </c>
      <c r="B19" s="93">
        <f>15885/61372</f>
        <v>0.25883138890699342</v>
      </c>
      <c r="C19" s="93">
        <f>6965/27030</f>
        <v>0.25767665556788755</v>
      </c>
      <c r="D19" s="93">
        <f>3941/23906</f>
        <v>0.16485401154521878</v>
      </c>
      <c r="E19" s="1"/>
    </row>
    <row r="20" spans="1:5" ht="14">
      <c r="A20" s="36" t="s">
        <v>95</v>
      </c>
      <c r="B20" s="80"/>
      <c r="C20" s="80"/>
      <c r="D20" s="80"/>
      <c r="E20" s="1"/>
    </row>
    <row r="21" spans="1:5" s="2" customFormat="1" ht="14">
      <c r="A21" s="37" t="s">
        <v>373</v>
      </c>
      <c r="B21" s="101"/>
      <c r="C21" s="101"/>
      <c r="D21" s="101"/>
      <c r="E21" s="102"/>
    </row>
    <row r="22" spans="1:5" ht="14">
      <c r="A22" s="35" t="s">
        <v>374</v>
      </c>
      <c r="B22" s="143">
        <v>172.47</v>
      </c>
      <c r="C22" s="99"/>
      <c r="D22" s="99" t="s">
        <v>88</v>
      </c>
      <c r="E22" s="100"/>
    </row>
    <row r="23" spans="1:5" ht="14">
      <c r="A23" s="35" t="s">
        <v>375</v>
      </c>
      <c r="B23" s="143">
        <v>139.4</v>
      </c>
      <c r="C23" s="659" t="s">
        <v>530</v>
      </c>
      <c r="D23" s="99" t="s">
        <v>88</v>
      </c>
      <c r="E23" s="100"/>
    </row>
    <row r="24" spans="1:5" ht="14">
      <c r="A24" s="35" t="s">
        <v>376</v>
      </c>
      <c r="B24" s="143">
        <v>145.18</v>
      </c>
      <c r="C24" s="659"/>
      <c r="D24" s="99" t="s">
        <v>88</v>
      </c>
      <c r="E24" s="100"/>
    </row>
    <row r="25" spans="1:5" ht="14">
      <c r="A25" s="35" t="s">
        <v>377</v>
      </c>
      <c r="B25" s="143">
        <v>156.53</v>
      </c>
      <c r="C25" s="659"/>
      <c r="D25" s="99" t="s">
        <v>88</v>
      </c>
      <c r="E25" s="100"/>
    </row>
    <row r="26" spans="1:5" ht="14">
      <c r="A26" s="35" t="s">
        <v>378</v>
      </c>
      <c r="B26" s="143">
        <v>151.19999999999999</v>
      </c>
      <c r="C26" s="659"/>
      <c r="D26" s="99" t="s">
        <v>88</v>
      </c>
      <c r="E26" s="100"/>
    </row>
    <row r="27" spans="1:5" ht="14">
      <c r="A27" s="35" t="s">
        <v>379</v>
      </c>
      <c r="B27" s="142">
        <v>943.63</v>
      </c>
      <c r="C27" s="659"/>
      <c r="D27" s="99" t="s">
        <v>88</v>
      </c>
      <c r="E27" s="100"/>
    </row>
    <row r="28" spans="1:5">
      <c r="B28" s="94"/>
      <c r="C28" s="659"/>
    </row>
    <row r="30" spans="1:5" ht="14">
      <c r="A30" s="35" t="s">
        <v>529</v>
      </c>
      <c r="B30" s="141">
        <v>107</v>
      </c>
    </row>
    <row r="34" spans="1:5">
      <c r="D34" s="96">
        <v>75872</v>
      </c>
    </row>
    <row r="35" spans="1:5">
      <c r="D35" s="96">
        <v>2404</v>
      </c>
    </row>
    <row r="36" spans="1:5">
      <c r="D36" s="96">
        <v>24171</v>
      </c>
    </row>
    <row r="37" spans="1:5">
      <c r="D37" s="96">
        <v>276</v>
      </c>
    </row>
    <row r="41" spans="1:5">
      <c r="A41" t="s">
        <v>589</v>
      </c>
      <c r="B41" s="92">
        <v>630.29</v>
      </c>
      <c r="C41" s="92">
        <v>286.14</v>
      </c>
      <c r="D41" s="92">
        <v>426.61</v>
      </c>
      <c r="E41">
        <f>B41-C41+D41</f>
        <v>770.76</v>
      </c>
    </row>
    <row r="42" spans="1:5">
      <c r="A42" t="s">
        <v>590</v>
      </c>
      <c r="B42" s="92">
        <v>2369.4699999999998</v>
      </c>
      <c r="C42" s="92">
        <v>1128.78</v>
      </c>
      <c r="D42" s="92">
        <v>1219.73</v>
      </c>
      <c r="E42">
        <f>B42-C42+D42</f>
        <v>2460.42</v>
      </c>
    </row>
    <row r="43" spans="1:5">
      <c r="A43" t="s">
        <v>591</v>
      </c>
      <c r="B43" s="92">
        <v>9967.5400000000009</v>
      </c>
      <c r="C43" s="92">
        <v>4703.01</v>
      </c>
      <c r="D43" s="92">
        <v>5876.21</v>
      </c>
      <c r="E43">
        <f>B43-C43+D43</f>
        <v>11140.740000000002</v>
      </c>
    </row>
    <row r="45" spans="1:5">
      <c r="A45" t="s">
        <v>592</v>
      </c>
      <c r="B45" s="92">
        <v>13043</v>
      </c>
      <c r="C45" s="92">
        <v>6020.47</v>
      </c>
      <c r="D45" s="92">
        <v>6322.85</v>
      </c>
      <c r="E45">
        <f>B45-C45+D45</f>
        <v>13345.380000000001</v>
      </c>
    </row>
  </sheetData>
  <mergeCells count="2">
    <mergeCell ref="C23:C28"/>
    <mergeCell ref="A1:F4"/>
  </mergeCells>
  <pageMargins left="0.75" right="0.75" top="1" bottom="1" header="0.5" footer="0.5"/>
  <pageSetup orientation="landscape" horizontalDpi="4294967292" verticalDpi="429496729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16"/>
  <sheetViews>
    <sheetView workbookViewId="0">
      <selection activeCell="H4" sqref="H4"/>
    </sheetView>
  </sheetViews>
  <sheetFormatPr baseColWidth="10" defaultRowHeight="13"/>
  <cols>
    <col min="1" max="1" width="6.33203125" bestFit="1" customWidth="1"/>
    <col min="2" max="2" width="16.5" bestFit="1" customWidth="1"/>
    <col min="3" max="3" width="18.33203125" bestFit="1" customWidth="1"/>
    <col min="4" max="5" width="12.33203125" bestFit="1" customWidth="1"/>
    <col min="6" max="6" width="17.6640625" bestFit="1" customWidth="1"/>
    <col min="9" max="9" width="20.33203125" customWidth="1"/>
    <col min="10" max="10" width="18.83203125" customWidth="1"/>
  </cols>
  <sheetData>
    <row r="1" spans="1:10" s="146" customFormat="1">
      <c r="A1" s="146" t="s">
        <v>222</v>
      </c>
      <c r="B1" s="146" t="s">
        <v>223</v>
      </c>
      <c r="C1" s="146" t="s">
        <v>412</v>
      </c>
      <c r="D1" s="146" t="s">
        <v>420</v>
      </c>
      <c r="E1" s="146" t="s">
        <v>422</v>
      </c>
      <c r="F1" s="146" t="s">
        <v>446</v>
      </c>
      <c r="G1" t="s">
        <v>213</v>
      </c>
      <c r="H1" s="146" t="s">
        <v>335</v>
      </c>
      <c r="I1" s="146" t="s">
        <v>724</v>
      </c>
      <c r="J1" s="146" t="s">
        <v>830</v>
      </c>
    </row>
    <row r="2" spans="1:10">
      <c r="A2" t="s">
        <v>49</v>
      </c>
      <c r="B2" t="s">
        <v>92</v>
      </c>
      <c r="C2" t="s">
        <v>413</v>
      </c>
      <c r="D2" t="s">
        <v>421</v>
      </c>
      <c r="E2">
        <v>1</v>
      </c>
      <c r="F2" t="s">
        <v>421</v>
      </c>
      <c r="G2" t="s">
        <v>441</v>
      </c>
      <c r="H2" s="380" t="s">
        <v>884</v>
      </c>
      <c r="I2" t="s">
        <v>732</v>
      </c>
      <c r="J2" s="80">
        <v>0</v>
      </c>
    </row>
    <row r="3" spans="1:10">
      <c r="A3" t="s">
        <v>44</v>
      </c>
      <c r="B3" t="s">
        <v>219</v>
      </c>
      <c r="C3" t="s">
        <v>416</v>
      </c>
      <c r="D3" t="s">
        <v>422</v>
      </c>
      <c r="E3">
        <v>2</v>
      </c>
      <c r="F3" t="s">
        <v>451</v>
      </c>
      <c r="G3" t="s">
        <v>440</v>
      </c>
      <c r="H3" s="381" t="s">
        <v>886</v>
      </c>
      <c r="I3" t="s">
        <v>725</v>
      </c>
      <c r="J3" s="80">
        <v>1</v>
      </c>
    </row>
    <row r="4" spans="1:10">
      <c r="C4" t="s">
        <v>414</v>
      </c>
      <c r="D4" t="s">
        <v>423</v>
      </c>
      <c r="F4" t="s">
        <v>452</v>
      </c>
      <c r="G4" t="s">
        <v>439</v>
      </c>
      <c r="H4" s="381" t="s">
        <v>729</v>
      </c>
      <c r="I4" t="s">
        <v>733</v>
      </c>
      <c r="J4" s="80">
        <v>2</v>
      </c>
    </row>
    <row r="5" spans="1:10">
      <c r="C5" t="s">
        <v>415</v>
      </c>
      <c r="F5" t="s">
        <v>453</v>
      </c>
      <c r="G5" t="s">
        <v>438</v>
      </c>
      <c r="H5" s="381" t="s">
        <v>730</v>
      </c>
      <c r="I5" t="s">
        <v>734</v>
      </c>
      <c r="J5" s="80">
        <v>3</v>
      </c>
    </row>
    <row r="6" spans="1:10">
      <c r="F6" t="s">
        <v>450</v>
      </c>
      <c r="G6" t="s">
        <v>437</v>
      </c>
      <c r="H6" s="381" t="s">
        <v>885</v>
      </c>
    </row>
    <row r="7" spans="1:10">
      <c r="G7" t="s">
        <v>436</v>
      </c>
    </row>
    <row r="8" spans="1:10">
      <c r="G8" t="s">
        <v>435</v>
      </c>
    </row>
    <row r="9" spans="1:10">
      <c r="G9" t="s">
        <v>434</v>
      </c>
    </row>
    <row r="10" spans="1:10">
      <c r="G10" t="s">
        <v>433</v>
      </c>
    </row>
    <row r="11" spans="1:10">
      <c r="G11" t="s">
        <v>432</v>
      </c>
    </row>
    <row r="12" spans="1:10">
      <c r="G12" t="s">
        <v>431</v>
      </c>
    </row>
    <row r="13" spans="1:10">
      <c r="G13" t="s">
        <v>430</v>
      </c>
    </row>
    <row r="14" spans="1:10">
      <c r="G14" t="s">
        <v>429</v>
      </c>
    </row>
    <row r="15" spans="1:10">
      <c r="G15" t="s">
        <v>428</v>
      </c>
    </row>
    <row r="16" spans="1:10">
      <c r="G16" t="s">
        <v>427</v>
      </c>
    </row>
  </sheetData>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0"/>
  <sheetViews>
    <sheetView zoomScale="125" zoomScaleNormal="125" workbookViewId="0">
      <selection activeCell="G39" sqref="G39"/>
    </sheetView>
  </sheetViews>
  <sheetFormatPr baseColWidth="10" defaultRowHeight="16"/>
  <cols>
    <col min="1" max="1" width="23" style="31" bestFit="1" customWidth="1"/>
    <col min="2" max="2" width="16.6640625" style="31" customWidth="1"/>
    <col min="3" max="13" width="15.83203125" style="34" bestFit="1" customWidth="1"/>
    <col min="14" max="14" width="12.6640625" bestFit="1" customWidth="1"/>
  </cols>
  <sheetData>
    <row r="1" spans="1:14">
      <c r="A1" s="28"/>
      <c r="B1" s="29" t="s">
        <v>8</v>
      </c>
      <c r="C1" s="29">
        <v>1</v>
      </c>
      <c r="D1" s="29">
        <v>2</v>
      </c>
      <c r="E1" s="29">
        <v>3</v>
      </c>
      <c r="F1" s="29">
        <v>4</v>
      </c>
      <c r="G1" s="29">
        <v>5</v>
      </c>
      <c r="H1" s="29">
        <v>6</v>
      </c>
      <c r="I1" s="29">
        <v>7</v>
      </c>
      <c r="J1" s="29">
        <v>8</v>
      </c>
      <c r="K1" s="29">
        <v>9</v>
      </c>
      <c r="L1" s="29">
        <v>10</v>
      </c>
      <c r="M1" s="33" t="s">
        <v>38</v>
      </c>
    </row>
    <row r="2" spans="1:14">
      <c r="A2" s="31" t="s">
        <v>14</v>
      </c>
      <c r="B2" s="40"/>
      <c r="C2" s="41">
        <f>'Input sheet'!B26</f>
        <v>0.05</v>
      </c>
      <c r="D2" s="41">
        <f>'Input sheet'!B28</f>
        <v>0.05</v>
      </c>
      <c r="E2" s="41">
        <f>D2</f>
        <v>0.05</v>
      </c>
      <c r="F2" s="41">
        <f>E2</f>
        <v>0.05</v>
      </c>
      <c r="G2" s="41">
        <f>F2</f>
        <v>0.05</v>
      </c>
      <c r="H2" s="41">
        <f>G2-((G2-$M$2)/5)</f>
        <v>4.9160000000000002E-2</v>
      </c>
      <c r="I2" s="41">
        <f>G2-((G2-$M$2)/5)*2</f>
        <v>4.8320000000000002E-2</v>
      </c>
      <c r="J2" s="41">
        <f>G2-((G2-$M$2)/5)*3</f>
        <v>4.7480000000000001E-2</v>
      </c>
      <c r="K2" s="41">
        <f>G2-((G2-$M$2)/5)*4</f>
        <v>4.6640000000000001E-2</v>
      </c>
      <c r="L2" s="41">
        <f>G2-((G2-$M$2)/5)*5</f>
        <v>4.58E-2</v>
      </c>
      <c r="M2" s="42">
        <f>IF('Input sheet'!B67="Yes",'Input sheet'!B68,IF('Input sheet'!B64="Yes",'Input sheet'!B65,'Input sheet'!B34))</f>
        <v>4.58E-2</v>
      </c>
    </row>
    <row r="3" spans="1:14" ht="15" customHeight="1">
      <c r="A3" s="31" t="s">
        <v>5</v>
      </c>
      <c r="B3" s="43">
        <f>'Input sheet'!B11</f>
        <v>21765.4</v>
      </c>
      <c r="C3" s="44">
        <f>B3*(1+C2)</f>
        <v>22853.670000000002</v>
      </c>
      <c r="D3" s="44">
        <f t="shared" ref="D3:L3" si="0">C3*(1+D2)</f>
        <v>23996.353500000005</v>
      </c>
      <c r="E3" s="44">
        <f t="shared" si="0"/>
        <v>25196.171175000007</v>
      </c>
      <c r="F3" s="44">
        <f t="shared" si="0"/>
        <v>26455.979733750009</v>
      </c>
      <c r="G3" s="44">
        <f t="shared" si="0"/>
        <v>27778.778720437513</v>
      </c>
      <c r="H3" s="44">
        <f t="shared" si="0"/>
        <v>29144.383482334222</v>
      </c>
      <c r="I3" s="44">
        <f t="shared" si="0"/>
        <v>30552.640092200611</v>
      </c>
      <c r="J3" s="44">
        <f t="shared" si="0"/>
        <v>32003.279443778294</v>
      </c>
      <c r="K3" s="44">
        <f t="shared" si="0"/>
        <v>33495.912397036111</v>
      </c>
      <c r="L3" s="44">
        <f t="shared" si="0"/>
        <v>35030.02518482037</v>
      </c>
      <c r="M3" s="348">
        <f>L3*(1+M2)</f>
        <v>36634.400338285144</v>
      </c>
    </row>
    <row r="4" spans="1:14" ht="15" customHeight="1">
      <c r="A4" s="31" t="s">
        <v>20</v>
      </c>
      <c r="B4" s="45">
        <f>B5/B3</f>
        <v>0.14063146094259696</v>
      </c>
      <c r="C4" s="41">
        <f>'Input sheet'!B27</f>
        <v>0.14063146094259696</v>
      </c>
      <c r="D4" s="41">
        <f>IF(D1&gt;'Input sheet'!$B$30,'Input sheet'!$B$29,'Input sheet'!$B$29-(('Input sheet'!$B$29-$C$4)/'Input sheet'!$B$30)*('Input sheet'!$B$30-D1))</f>
        <v>0.14063146094259696</v>
      </c>
      <c r="E4" s="41">
        <f>IF(E1&gt;'Input sheet'!$B$30,'Input sheet'!$B$29,'Input sheet'!$B$29-(('Input sheet'!$B$29-$C$4)/'Input sheet'!$B$30)*('Input sheet'!$B$30-E1))</f>
        <v>0.14063146094259696</v>
      </c>
      <c r="F4" s="41">
        <f>IF(F1&gt;'Input sheet'!$B$30,'Input sheet'!$B$29,'Input sheet'!$B$29-(('Input sheet'!$B$29-$C$4)/'Input sheet'!$B$30)*('Input sheet'!$B$30-F1))</f>
        <v>0.14063146094259696</v>
      </c>
      <c r="G4" s="41">
        <f>IF(G1&gt;'Input sheet'!$B$30,'Input sheet'!$B$29,'Input sheet'!$B$29-(('Input sheet'!$B$29-$C$4)/'Input sheet'!$B$30)*('Input sheet'!$B$30-G1))</f>
        <v>0.14063146094259696</v>
      </c>
      <c r="H4" s="41">
        <f>IF(H1&gt;'Input sheet'!$B$30,'Input sheet'!$B$29,'Input sheet'!$B$29-(('Input sheet'!$B$29-$C$4)/'Input sheet'!$B$30)*('Input sheet'!$B$30-H1))</f>
        <v>0.14063146094259696</v>
      </c>
      <c r="I4" s="41">
        <f>IF(I1&gt;'Input sheet'!$B$30,'Input sheet'!$B$29,'Input sheet'!$B$29-(('Input sheet'!$B$29-$C$4)/'Input sheet'!$B$30)*('Input sheet'!$B$30-I1))</f>
        <v>0.14063146094259696</v>
      </c>
      <c r="J4" s="41">
        <f>IF(J1&gt;'Input sheet'!$B$30,'Input sheet'!$B$29,'Input sheet'!$B$29-(('Input sheet'!$B$29-$C$4)/'Input sheet'!$B$30)*('Input sheet'!$B$30-J1))</f>
        <v>0.14063146094259696</v>
      </c>
      <c r="K4" s="41">
        <f>IF(K1&gt;'Input sheet'!$B$30,'Input sheet'!$B$29,'Input sheet'!$B$29-(('Input sheet'!$B$29-$C$4)/'Input sheet'!$B$30)*('Input sheet'!$B$30-K1))</f>
        <v>0.14063146094259696</v>
      </c>
      <c r="L4" s="41">
        <f>IF(L1&gt;'Input sheet'!$B$30,'Input sheet'!$B$29,'Input sheet'!$B$29-(('Input sheet'!$B$29-$C$4)/'Input sheet'!$B$30)*('Input sheet'!$B$30-L1))</f>
        <v>0.14063146094259696</v>
      </c>
      <c r="M4" s="42">
        <f>L4</f>
        <v>0.14063146094259696</v>
      </c>
    </row>
    <row r="5" spans="1:14" ht="15" customHeight="1">
      <c r="A5" s="31" t="s">
        <v>19</v>
      </c>
      <c r="B5" s="43">
        <f>IF('Input sheet'!B17="Yes",IF('Input sheet'!B16="Yes",'Input sheet'!B12+'Operating lease converter'!F32+'R&amp; D converter'!D39,'Input sheet'!B12+'Operating lease converter'!F32),IF('Input sheet'!B16="Yes",'Input sheet'!B12+'R&amp; D converter'!D39,'Input sheet'!B12))</f>
        <v>3060.9</v>
      </c>
      <c r="C5" s="44">
        <f t="shared" ref="C5:M5" si="1">C4*C3</f>
        <v>3213.9450000000002</v>
      </c>
      <c r="D5" s="44">
        <f t="shared" si="1"/>
        <v>3374.6422500000003</v>
      </c>
      <c r="E5" s="44">
        <f t="shared" si="1"/>
        <v>3543.3743625000006</v>
      </c>
      <c r="F5" s="44">
        <f t="shared" si="1"/>
        <v>3720.543080625001</v>
      </c>
      <c r="G5" s="44">
        <f t="shared" si="1"/>
        <v>3906.5702346562516</v>
      </c>
      <c r="H5" s="44">
        <f t="shared" si="1"/>
        <v>4098.6172273919528</v>
      </c>
      <c r="I5" s="44">
        <f t="shared" si="1"/>
        <v>4296.6624118195323</v>
      </c>
      <c r="J5" s="44">
        <f t="shared" si="1"/>
        <v>4500.6679431327229</v>
      </c>
      <c r="K5" s="44">
        <f t="shared" si="1"/>
        <v>4710.5790960004333</v>
      </c>
      <c r="L5" s="44">
        <f t="shared" si="1"/>
        <v>4926.3236185972537</v>
      </c>
      <c r="M5" s="348">
        <f t="shared" si="1"/>
        <v>5151.9492403290078</v>
      </c>
      <c r="N5" s="349">
        <f>M5-B5</f>
        <v>2091.0492403290077</v>
      </c>
    </row>
    <row r="6" spans="1:14" ht="15" customHeight="1">
      <c r="A6" s="31" t="s">
        <v>130</v>
      </c>
      <c r="B6" s="46">
        <f>'Input sheet'!B23</f>
        <v>0.17499999999999999</v>
      </c>
      <c r="C6" s="47">
        <f>B6</f>
        <v>0.17499999999999999</v>
      </c>
      <c r="D6" s="47">
        <f>C6</f>
        <v>0.17499999999999999</v>
      </c>
      <c r="E6" s="47">
        <f>D6</f>
        <v>0.17499999999999999</v>
      </c>
      <c r="F6" s="47">
        <f>E6</f>
        <v>0.17499999999999999</v>
      </c>
      <c r="G6" s="47">
        <f>F6</f>
        <v>0.17499999999999999</v>
      </c>
      <c r="H6" s="47">
        <f>G6+($M$6-$G$6)/5</f>
        <v>0.19</v>
      </c>
      <c r="I6" s="47">
        <f>H6+($M$6-$G$6)/5</f>
        <v>0.20500000000000002</v>
      </c>
      <c r="J6" s="47">
        <f>I6+($M$6-$G$6)/5</f>
        <v>0.22000000000000003</v>
      </c>
      <c r="K6" s="47">
        <f>J6+($M$6-$G$6)/5</f>
        <v>0.23500000000000004</v>
      </c>
      <c r="L6" s="47">
        <f>K6+($M$6-$G$6)/5</f>
        <v>0.25000000000000006</v>
      </c>
      <c r="M6" s="47">
        <f>IF('Input sheet'!B59="Yes",'Input sheet'!B23,'Input sheet'!B24)</f>
        <v>0.25</v>
      </c>
    </row>
    <row r="7" spans="1:14" ht="15" customHeight="1">
      <c r="A7" s="31" t="s">
        <v>6</v>
      </c>
      <c r="B7" s="43">
        <f>IF(B5&gt;0,B5*(1-B6),B5)</f>
        <v>2525.2424999999998</v>
      </c>
      <c r="C7" s="44">
        <f>IF(C5&gt;0,IF(C5&lt;B10,C5,C5-(C5-B10)*C6),C5)</f>
        <v>2651.504625</v>
      </c>
      <c r="D7" s="44">
        <f t="shared" ref="D7:L7" si="2">IF(D5&gt;0,IF(D5&lt;C10,D5,D5-(D5-C10)*D6),D5)</f>
        <v>2784.0798562500004</v>
      </c>
      <c r="E7" s="44">
        <f t="shared" si="2"/>
        <v>2923.2838490625008</v>
      </c>
      <c r="F7" s="44">
        <f t="shared" si="2"/>
        <v>3069.4480415156258</v>
      </c>
      <c r="G7" s="44">
        <f t="shared" si="2"/>
        <v>3222.9204435914075</v>
      </c>
      <c r="H7" s="44">
        <f t="shared" si="2"/>
        <v>3319.8799541874819</v>
      </c>
      <c r="I7" s="44">
        <f t="shared" si="2"/>
        <v>3415.846617396528</v>
      </c>
      <c r="J7" s="44">
        <f t="shared" si="2"/>
        <v>3510.5209956435237</v>
      </c>
      <c r="K7" s="44">
        <f t="shared" si="2"/>
        <v>3603.5930084403312</v>
      </c>
      <c r="L7" s="44">
        <f t="shared" si="2"/>
        <v>3694.74271394794</v>
      </c>
      <c r="M7" s="44">
        <f>M5*(1-M6)</f>
        <v>3863.9619302467559</v>
      </c>
    </row>
    <row r="8" spans="1:14" ht="15" customHeight="1">
      <c r="A8" s="31" t="s">
        <v>9</v>
      </c>
      <c r="B8" s="43"/>
      <c r="C8" s="44">
        <f>IF('Input sheet'!$B$56="No",(D3-C3)/C38,IF('Input sheet'!$B$57=0,(C3-B3)/C38,IF('Input sheet'!$B$57=2,(E3-D3)/C38,IF('Input sheet'!$B$57=3,(F3-E3)/C38,(D3-C3)/C38))))</f>
        <v>668.80790477968492</v>
      </c>
      <c r="D8" s="44">
        <f>IF('Input sheet'!$B$56="No",(E3-D3)/D38,IF('Input sheet'!$B$57=0,(D3-C3)/D38,IF('Input sheet'!$B$57=2,(F3-E3)/D38,IF('Input sheet'!$B$57=3,(G3-F3)/D38,(E3-D3)/D38))))</f>
        <v>702.2483000186686</v>
      </c>
      <c r="E8" s="44">
        <f>IF('Input sheet'!$B$56="No",(F3-E3)/E38,IF('Input sheet'!$B$57=0,(E3-D3)/E38,IF('Input sheet'!$B$57=2,(G3-F3)/E38,IF('Input sheet'!$B$57=3,(H3-G3)/E38,(F3-E3)/E38))))</f>
        <v>737.36071501960237</v>
      </c>
      <c r="F8" s="44">
        <f>IF('Input sheet'!$B$56="No",(G3-F3)/F38,IF('Input sheet'!$B$57=0,(F3-E3)/F38,IF('Input sheet'!$B$57=2,(H3-G3)/F38,IF('Input sheet'!$B$57=3,(I3-H3)/F38,(G3-F3)/F38))))</f>
        <v>774.22875077058268</v>
      </c>
      <c r="G8" s="44">
        <f>IF('Input sheet'!$B$56="No",(H3-G3)/G38,IF('Input sheet'!$B$57=0,(G3-F3)/G38,IF('Input sheet'!$B$57=2,(I3-H3)/G38,IF('Input sheet'!$B$57=3,(J3-I3)/G38,(H3-G3)/G38))))</f>
        <v>799.28279314551799</v>
      </c>
      <c r="H8" s="44">
        <f>IF('Input sheet'!$B$56="No",(I3-H3)/H38,IF('Input sheet'!$B$57=0,(H3-G3)/H38,IF('Input sheet'!$B$57=2,(J3-I3)/H38,IF('Input sheet'!$B$57=3,(K3-J3)/H38,(I3-H3)/H38))))</f>
        <v>824.24674254671481</v>
      </c>
      <c r="I8" s="44">
        <f>IF('Input sheet'!$B$56="No",(J3-I3)/I38,IF('Input sheet'!$B$57=0,(I3-H3)/I38,IF('Input sheet'!$B$57=2,(K3-J3)/I38,IF('Input sheet'!$B$57=3,(L3-K3)/I38,(J3-I3)/I38))))</f>
        <v>849.05318517299747</v>
      </c>
      <c r="J8" s="44">
        <f>IF('Input sheet'!$B$56="No",(K3-J3)/J38,IF('Input sheet'!$B$57=0,(J3-I3)/J38,IF('Input sheet'!$B$57=2,(L3-K3)/J38,IF('Input sheet'!$B$57=3,(M3-L3)/J38,(K3-J3)/J38))))</f>
        <v>873.63186575589054</v>
      </c>
      <c r="K8" s="44">
        <f>IF('Input sheet'!$B$56="No",(L3-K3)/K38,IF('Input sheet'!$B$57=0,(K3-J3)/K38,IF('Input sheet'!$B$57=2,L3*L2/K38,IF('Input sheet'!$B$57=3,M3*M2/K38,(L3-K3)/K38))))</f>
        <v>897.90984055839533</v>
      </c>
      <c r="L8" s="44">
        <f>IF('Input sheet'!$B$56="No",(M3-L3)/L38,IF('Input sheet'!$B$57=0,(L3-K3)/L38,IF('Input sheet'!$B$57=2,M3*M2/L38,IF('Input sheet'!$B$57=3,K8*(1+M2),(M3-L3)/L38))))</f>
        <v>939.03411125596767</v>
      </c>
      <c r="M8" s="48">
        <f>IF(M2&gt;0,(M2/M40)*M7,0)</f>
        <v>2008.7338979035353</v>
      </c>
      <c r="N8" s="349">
        <f>SUM(C8:M8)</f>
        <v>10074.538106927559</v>
      </c>
    </row>
    <row r="9" spans="1:14" ht="15" customHeight="1">
      <c r="A9" s="31" t="s">
        <v>10</v>
      </c>
      <c r="B9" s="43"/>
      <c r="C9" s="44">
        <f t="shared" ref="C9:L9" si="3">C7-C8</f>
        <v>1982.696720220315</v>
      </c>
      <c r="D9" s="44">
        <f t="shared" si="3"/>
        <v>2081.8315562313319</v>
      </c>
      <c r="E9" s="44">
        <f t="shared" si="3"/>
        <v>2185.9231340428987</v>
      </c>
      <c r="F9" s="44">
        <f t="shared" si="3"/>
        <v>2295.2192907450431</v>
      </c>
      <c r="G9" s="44">
        <f t="shared" si="3"/>
        <v>2423.6376504458894</v>
      </c>
      <c r="H9" s="44">
        <f t="shared" si="3"/>
        <v>2495.6332116407671</v>
      </c>
      <c r="I9" s="44">
        <f t="shared" si="3"/>
        <v>2566.7934322235305</v>
      </c>
      <c r="J9" s="44">
        <f t="shared" si="3"/>
        <v>2636.8891298876333</v>
      </c>
      <c r="K9" s="44">
        <f t="shared" si="3"/>
        <v>2705.6831678819358</v>
      </c>
      <c r="L9" s="44">
        <f t="shared" si="3"/>
        <v>2755.7086026919724</v>
      </c>
      <c r="M9" s="48">
        <f>M7-M8</f>
        <v>1855.2280323432205</v>
      </c>
    </row>
    <row r="10" spans="1:14" ht="15" customHeight="1">
      <c r="A10" s="31" t="s">
        <v>41</v>
      </c>
      <c r="B10" s="43">
        <f>IF('Input sheet'!B61="Yes",'Input sheet'!B62,0)</f>
        <v>0</v>
      </c>
      <c r="C10" s="44">
        <f>IF(C5&lt;0,B10-C5,IF(B10&gt;C5,B10-C5,0))</f>
        <v>0</v>
      </c>
      <c r="D10" s="44">
        <f t="shared" ref="D10:M10" si="4">IF(D5&lt;0,C10-D5,IF(C10&gt;D5,C10-D5,0))</f>
        <v>0</v>
      </c>
      <c r="E10" s="44">
        <f t="shared" si="4"/>
        <v>0</v>
      </c>
      <c r="F10" s="44">
        <f t="shared" si="4"/>
        <v>0</v>
      </c>
      <c r="G10" s="44">
        <f t="shared" si="4"/>
        <v>0</v>
      </c>
      <c r="H10" s="44">
        <f t="shared" si="4"/>
        <v>0</v>
      </c>
      <c r="I10" s="44">
        <f t="shared" si="4"/>
        <v>0</v>
      </c>
      <c r="J10" s="44">
        <f t="shared" si="4"/>
        <v>0</v>
      </c>
      <c r="K10" s="44">
        <f t="shared" si="4"/>
        <v>0</v>
      </c>
      <c r="L10" s="44">
        <f t="shared" si="4"/>
        <v>0</v>
      </c>
      <c r="M10" s="44">
        <f t="shared" si="4"/>
        <v>0</v>
      </c>
    </row>
    <row r="11" spans="1:14" ht="15" customHeight="1">
      <c r="B11" s="40"/>
      <c r="C11" s="49"/>
      <c r="D11" s="49"/>
      <c r="E11" s="49"/>
      <c r="F11" s="49"/>
      <c r="G11" s="49"/>
      <c r="H11" s="49"/>
      <c r="I11" s="49"/>
      <c r="J11" s="49"/>
      <c r="K11" s="49"/>
      <c r="L11" s="49"/>
      <c r="M11" s="49"/>
    </row>
    <row r="12" spans="1:14" ht="15" customHeight="1">
      <c r="A12" s="31" t="s">
        <v>135</v>
      </c>
      <c r="B12" s="45"/>
      <c r="C12" s="41">
        <f>'Input sheet'!B35</f>
        <v>7.0550157406465405E-2</v>
      </c>
      <c r="D12" s="41">
        <f>C12</f>
        <v>7.0550157406465405E-2</v>
      </c>
      <c r="E12" s="41">
        <f>D12</f>
        <v>7.0550157406465405E-2</v>
      </c>
      <c r="F12" s="41">
        <f>E12</f>
        <v>7.0550157406465405E-2</v>
      </c>
      <c r="G12" s="41">
        <f>F12</f>
        <v>7.0550157406465405E-2</v>
      </c>
      <c r="H12" s="41">
        <f>G12-($G$12-$M$12)/5</f>
        <v>7.4060125925172318E-2</v>
      </c>
      <c r="I12" s="41">
        <f>H12-($G$12-$M$12)/5</f>
        <v>7.7570094443879231E-2</v>
      </c>
      <c r="J12" s="41">
        <f>I12-($G$12-$M$12)/5</f>
        <v>8.1080062962586144E-2</v>
      </c>
      <c r="K12" s="41">
        <f>J12-($G$12-$M$12)/5</f>
        <v>8.4590031481293057E-2</v>
      </c>
      <c r="L12" s="41">
        <f>K12-($G$12-$M$12)/5</f>
        <v>8.809999999999997E-2</v>
      </c>
      <c r="M12" s="42">
        <f>IF('Input sheet'!B45="Yes",'Input sheet'!B46,IF('Input sheet'!B64="Yes",'Input sheet'!B65+'Country equity risk premiums'!B1,'Input sheet'!B34+'Country equity risk premiums'!B1))</f>
        <v>8.8099999999999998E-2</v>
      </c>
    </row>
    <row r="13" spans="1:14" ht="15" customHeight="1">
      <c r="A13" s="31" t="s">
        <v>136</v>
      </c>
      <c r="B13" s="40"/>
      <c r="C13" s="79">
        <f>1/(1+C12)</f>
        <v>0.9340991574113805</v>
      </c>
      <c r="D13" s="79">
        <f>C13*(1/(1+D12))</f>
        <v>0.872541235876651</v>
      </c>
      <c r="E13" s="79">
        <f t="shared" ref="E13:L13" si="5">D13*(1/(1+E12))</f>
        <v>0.81504003323906427</v>
      </c>
      <c r="F13" s="79">
        <f t="shared" si="5"/>
        <v>0.76132820830515346</v>
      </c>
      <c r="G13" s="79">
        <f t="shared" si="5"/>
        <v>0.71115603789135984</v>
      </c>
      <c r="H13" s="79">
        <f t="shared" si="5"/>
        <v>0.66211939231873573</v>
      </c>
      <c r="I13" s="79">
        <f t="shared" si="5"/>
        <v>0.6144559836364496</v>
      </c>
      <c r="J13" s="79">
        <f t="shared" si="5"/>
        <v>0.56837232013380923</v>
      </c>
      <c r="K13" s="79">
        <f t="shared" si="5"/>
        <v>0.52404346678121994</v>
      </c>
      <c r="L13" s="79">
        <f t="shared" si="5"/>
        <v>0.48161333221323399</v>
      </c>
      <c r="M13" s="49"/>
    </row>
    <row r="14" spans="1:14" ht="15" customHeight="1">
      <c r="A14" s="31" t="s">
        <v>15</v>
      </c>
      <c r="B14" s="40"/>
      <c r="C14" s="44">
        <f t="shared" ref="C14:L14" si="6">C9*C13</f>
        <v>1852.0353357601039</v>
      </c>
      <c r="D14" s="44">
        <f t="shared" si="6"/>
        <v>1816.4838789610981</v>
      </c>
      <c r="E14" s="44">
        <f t="shared" si="6"/>
        <v>1781.6148638283637</v>
      </c>
      <c r="F14" s="44">
        <f t="shared" si="6"/>
        <v>1747.4151902903486</v>
      </c>
      <c r="G14" s="44">
        <f t="shared" si="6"/>
        <v>1723.5845487754234</v>
      </c>
      <c r="H14" s="44">
        <f t="shared" si="6"/>
        <v>1652.4071455420394</v>
      </c>
      <c r="I14" s="44">
        <f t="shared" si="6"/>
        <v>1577.181583188488</v>
      </c>
      <c r="J14" s="44">
        <f t="shared" si="6"/>
        <v>1498.7347926898556</v>
      </c>
      <c r="K14" s="44">
        <f t="shared" si="6"/>
        <v>1417.8955873084431</v>
      </c>
      <c r="L14" s="44">
        <f t="shared" si="6"/>
        <v>1327.1860027511557</v>
      </c>
      <c r="M14" s="49"/>
    </row>
    <row r="15" spans="1:14" ht="15" customHeight="1"/>
    <row r="16" spans="1:14" ht="15" customHeight="1">
      <c r="A16" s="30" t="s">
        <v>16</v>
      </c>
      <c r="B16" s="43">
        <f>M9</f>
        <v>1855.2280323432205</v>
      </c>
    </row>
    <row r="17" spans="1:13" ht="15" customHeight="1">
      <c r="A17" s="30" t="s">
        <v>132</v>
      </c>
      <c r="B17" s="45">
        <f>M12</f>
        <v>8.8099999999999998E-2</v>
      </c>
      <c r="D17" s="352"/>
    </row>
    <row r="18" spans="1:13">
      <c r="A18" s="30" t="s">
        <v>17</v>
      </c>
      <c r="B18" s="43">
        <f>B16/(B17-M2)</f>
        <v>43858.818731518222</v>
      </c>
      <c r="D18" s="353"/>
      <c r="M18" s="352"/>
    </row>
    <row r="19" spans="1:13">
      <c r="A19" s="30" t="s">
        <v>18</v>
      </c>
      <c r="B19" s="50">
        <f>B18*L13</f>
        <v>21122.991836222696</v>
      </c>
      <c r="D19" s="352"/>
    </row>
    <row r="20" spans="1:13">
      <c r="A20" s="30" t="s">
        <v>39</v>
      </c>
      <c r="B20" s="50">
        <f>SUM(C14:L14)</f>
        <v>16394.538929095321</v>
      </c>
    </row>
    <row r="21" spans="1:13">
      <c r="A21" s="30" t="s">
        <v>40</v>
      </c>
      <c r="B21" s="50">
        <f>B19+B20</f>
        <v>37517.530765318021</v>
      </c>
    </row>
    <row r="22" spans="1:13">
      <c r="A22" s="30" t="s">
        <v>100</v>
      </c>
      <c r="B22" s="51">
        <f>IF('Input sheet'!B51="Yes",'Input sheet'!B52,0)</f>
        <v>0</v>
      </c>
      <c r="E22" s="352"/>
    </row>
    <row r="23" spans="1:13">
      <c r="A23" s="30" t="s">
        <v>101</v>
      </c>
      <c r="B23" s="52">
        <f>IF('Input sheet'!B53="B",('Input sheet'!B14+'Input sheet'!B15)*'Input sheet'!B54,'Valuation output'!B21*'Input sheet'!B54)</f>
        <v>18758.76538265901</v>
      </c>
    </row>
    <row r="24" spans="1:13">
      <c r="A24" s="30" t="s">
        <v>37</v>
      </c>
      <c r="B24" s="43">
        <f>B21*(1-B22)+B23*B22</f>
        <v>37517.530765318021</v>
      </c>
    </row>
    <row r="25" spans="1:13">
      <c r="A25" s="30" t="s">
        <v>367</v>
      </c>
      <c r="B25" s="43">
        <f>IF('Input sheet'!B17="Yes",'Input sheet'!B15+'Operating lease converter'!C28,'Input sheet'!B15)</f>
        <v>45063</v>
      </c>
    </row>
    <row r="26" spans="1:13">
      <c r="A26" s="30" t="s">
        <v>369</v>
      </c>
      <c r="B26" s="43">
        <f>'Input sheet'!B20</f>
        <v>1558</v>
      </c>
    </row>
    <row r="27" spans="1:13" ht="16" customHeight="1">
      <c r="A27" s="30" t="s">
        <v>366</v>
      </c>
      <c r="B27" s="43">
        <f>IF('Input sheet'!B70="YES",'Input sheet'!B18-'Input sheet'!B71*('Input sheet'!B24-'Input sheet'!B72),'Input sheet'!B18)</f>
        <v>19000</v>
      </c>
      <c r="D27" s="525" t="s">
        <v>968</v>
      </c>
      <c r="E27" s="525"/>
      <c r="F27" s="525"/>
    </row>
    <row r="28" spans="1:13">
      <c r="A28" s="30" t="s">
        <v>365</v>
      </c>
      <c r="B28" s="43">
        <f>'Input sheet'!B19</f>
        <v>21119</v>
      </c>
      <c r="D28" s="525"/>
      <c r="E28" s="525"/>
      <c r="F28" s="525"/>
    </row>
    <row r="29" spans="1:13">
      <c r="A29" s="30" t="s">
        <v>45</v>
      </c>
      <c r="B29" s="50">
        <f>B24-B25-B26+B27+B28</f>
        <v>31015.530765318021</v>
      </c>
      <c r="D29" s="525"/>
      <c r="E29" s="525"/>
      <c r="F29" s="525"/>
    </row>
    <row r="30" spans="1:13">
      <c r="A30" s="30" t="s">
        <v>50</v>
      </c>
      <c r="B30" s="53">
        <f>IF('Input sheet'!B37="No",0,'Option value'!B29)</f>
        <v>0</v>
      </c>
      <c r="D30" s="525"/>
      <c r="E30" s="525"/>
      <c r="F30" s="525"/>
    </row>
    <row r="31" spans="1:13">
      <c r="A31" s="30" t="s">
        <v>51</v>
      </c>
      <c r="B31" s="50">
        <f>B29-B30</f>
        <v>31015.530765318021</v>
      </c>
      <c r="D31" s="525"/>
      <c r="E31" s="525"/>
      <c r="F31" s="525"/>
    </row>
    <row r="32" spans="1:13">
      <c r="A32" s="30" t="s">
        <v>7</v>
      </c>
      <c r="B32" s="54">
        <f>'Input sheet'!B21</f>
        <v>4315</v>
      </c>
      <c r="D32" s="525"/>
      <c r="E32" s="525"/>
      <c r="F32" s="525"/>
    </row>
    <row r="33" spans="1:13">
      <c r="A33" s="30" t="s">
        <v>85</v>
      </c>
      <c r="B33" s="55">
        <f>B31/B32</f>
        <v>7.1878402700621136</v>
      </c>
    </row>
    <row r="34" spans="1:13">
      <c r="A34" s="30" t="s">
        <v>91</v>
      </c>
      <c r="B34" s="43">
        <f>'Input sheet'!B22</f>
        <v>72.28</v>
      </c>
    </row>
    <row r="35" spans="1:13">
      <c r="A35" s="30" t="s">
        <v>43</v>
      </c>
      <c r="B35" s="46">
        <f>B34/B33</f>
        <v>10.055871761793531</v>
      </c>
    </row>
    <row r="37" spans="1:13">
      <c r="A37" s="32" t="s">
        <v>11</v>
      </c>
      <c r="B37" s="40"/>
      <c r="C37" s="49"/>
      <c r="D37" s="49"/>
      <c r="E37" s="49"/>
      <c r="F37" s="49"/>
      <c r="G37" s="49"/>
      <c r="H37" s="49"/>
      <c r="I37" s="49"/>
      <c r="J37" s="49"/>
      <c r="K37" s="49"/>
      <c r="L37" s="49"/>
      <c r="M37" s="49" t="s">
        <v>36</v>
      </c>
    </row>
    <row r="38" spans="1:13">
      <c r="A38" s="30" t="s">
        <v>31</v>
      </c>
      <c r="B38" s="40"/>
      <c r="C38" s="56">
        <f>'Input sheet'!B31</f>
        <v>1.7085376710318929</v>
      </c>
      <c r="D38" s="56">
        <f>'Input sheet'!B31</f>
        <v>1.7085376710318929</v>
      </c>
      <c r="E38" s="56">
        <f t="shared" ref="E38:L38" si="7">D38</f>
        <v>1.7085376710318929</v>
      </c>
      <c r="F38" s="56">
        <f t="shared" si="7"/>
        <v>1.7085376710318929</v>
      </c>
      <c r="G38" s="56">
        <f>F38</f>
        <v>1.7085376710318929</v>
      </c>
      <c r="H38" s="56">
        <f>'Input sheet'!B32</f>
        <v>1.7085376710318929</v>
      </c>
      <c r="I38" s="56">
        <f t="shared" si="7"/>
        <v>1.7085376710318929</v>
      </c>
      <c r="J38" s="56">
        <f t="shared" si="7"/>
        <v>1.7085376710318929</v>
      </c>
      <c r="K38" s="56">
        <f t="shared" si="7"/>
        <v>1.7085376710318929</v>
      </c>
      <c r="L38" s="56">
        <f t="shared" si="7"/>
        <v>1.7085376710318929</v>
      </c>
      <c r="M38" s="49"/>
    </row>
    <row r="39" spans="1:13">
      <c r="A39" s="30" t="s">
        <v>12</v>
      </c>
      <c r="B39" s="57">
        <f>IF('Input sheet'!B17="Yes",IF('Input sheet'!B16="Yes",'Input sheet'!B14+'Input sheet'!B15-'Input sheet'!B18+'Operating lease converter'!F33+'R&amp; D converter'!D35,'Input sheet'!B14+'Input sheet'!B15-'Input sheet'!B18+'Operating lease converter'!F33),IF('Input sheet'!B16="Yes",'Input sheet'!B14+'Input sheet'!B15-'Input sheet'!B18+'R&amp; D converter'!D35,'Input sheet'!B14+'Input sheet'!B15-'Input sheet'!B18))</f>
        <v>36730.800000000003</v>
      </c>
      <c r="C39" s="58">
        <f t="shared" ref="C39:L39" si="8">B39+C8</f>
        <v>37399.607904779688</v>
      </c>
      <c r="D39" s="58">
        <f t="shared" si="8"/>
        <v>38101.856204798358</v>
      </c>
      <c r="E39" s="58">
        <f t="shared" si="8"/>
        <v>38839.216919817962</v>
      </c>
      <c r="F39" s="58">
        <f t="shared" si="8"/>
        <v>39613.445670588546</v>
      </c>
      <c r="G39" s="58">
        <f t="shared" si="8"/>
        <v>40412.728463734064</v>
      </c>
      <c r="H39" s="58">
        <f t="shared" si="8"/>
        <v>41236.975206280782</v>
      </c>
      <c r="I39" s="58">
        <f t="shared" si="8"/>
        <v>42086.028391453779</v>
      </c>
      <c r="J39" s="58">
        <f t="shared" si="8"/>
        <v>42959.660257209667</v>
      </c>
      <c r="K39" s="58">
        <f t="shared" si="8"/>
        <v>43857.570097768061</v>
      </c>
      <c r="L39" s="58">
        <f t="shared" si="8"/>
        <v>44796.60420902403</v>
      </c>
      <c r="M39" s="49"/>
    </row>
    <row r="40" spans="1:13">
      <c r="A40" s="30" t="s">
        <v>13</v>
      </c>
      <c r="B40" s="45">
        <f>B7/B39</f>
        <v>6.8749999999999992E-2</v>
      </c>
      <c r="C40" s="41">
        <f>C7/B39</f>
        <v>7.2187500000000002E-2</v>
      </c>
      <c r="D40" s="41">
        <f t="shared" ref="D40:L40" si="9">D7/C39</f>
        <v>7.4441418298778303E-2</v>
      </c>
      <c r="E40" s="41">
        <f t="shared" si="9"/>
        <v>7.6722872328050959E-2</v>
      </c>
      <c r="F40" s="41">
        <f t="shared" si="9"/>
        <v>7.9029606798004734E-2</v>
      </c>
      <c r="G40" s="41">
        <f t="shared" si="9"/>
        <v>8.1359255400100208E-2</v>
      </c>
      <c r="H40" s="41">
        <f t="shared" si="9"/>
        <v>8.2149364331257801E-2</v>
      </c>
      <c r="I40" s="41">
        <f t="shared" si="9"/>
        <v>8.2834558070987274E-2</v>
      </c>
      <c r="J40" s="41">
        <f t="shared" si="9"/>
        <v>8.3412978839228977E-2</v>
      </c>
      <c r="K40" s="41">
        <f t="shared" si="9"/>
        <v>8.3883182196152525E-2</v>
      </c>
      <c r="L40" s="41">
        <f t="shared" si="9"/>
        <v>8.4244127198829191E-2</v>
      </c>
      <c r="M40" s="41">
        <f>IF('Input sheet'!B48="Yes",'Input sheet'!B49,'Valuation output'!L12)</f>
        <v>8.809999999999997E-2</v>
      </c>
    </row>
  </sheetData>
  <mergeCells count="1">
    <mergeCell ref="D27:F32"/>
  </mergeCells>
  <phoneticPr fontId="6" type="noConversion"/>
  <pageMargins left="0.75" right="0.75" top="1" bottom="1" header="0.5" footer="0.5"/>
  <pageSetup orientation="landscape" horizontalDpi="4294967292" verticalDpi="4294967292"/>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0"/>
  <sheetViews>
    <sheetView zoomScale="116" zoomScaleNormal="116" workbookViewId="0">
      <selection activeCell="E36" sqref="E36"/>
    </sheetView>
  </sheetViews>
  <sheetFormatPr baseColWidth="10" defaultRowHeight="16"/>
  <cols>
    <col min="1" max="1" width="20.33203125" style="130" customWidth="1"/>
    <col min="2" max="2" width="19.5" style="130" customWidth="1"/>
    <col min="3" max="3" width="17.6640625" style="130" customWidth="1"/>
    <col min="4" max="4" width="16.5" style="130" customWidth="1"/>
    <col min="5" max="5" width="19.1640625" style="130" customWidth="1"/>
    <col min="6" max="6" width="24.6640625" style="132" customWidth="1"/>
    <col min="7" max="7" width="37.33203125" style="130" customWidth="1"/>
    <col min="8" max="8" width="17" customWidth="1"/>
    <col min="13" max="13" width="12.5" bestFit="1" customWidth="1"/>
  </cols>
  <sheetData>
    <row r="1" spans="1:11">
      <c r="A1" s="532" t="str">
        <f>'Input sheet'!B4</f>
        <v>Almarai</v>
      </c>
      <c r="B1" s="533"/>
      <c r="C1" s="533"/>
      <c r="D1" s="533"/>
      <c r="E1" s="533"/>
      <c r="F1" s="534"/>
      <c r="G1" s="149">
        <f>'Input sheet'!B3</f>
        <v>44592</v>
      </c>
    </row>
    <row r="2" spans="1:11">
      <c r="A2" s="577" t="s">
        <v>629</v>
      </c>
      <c r="B2" s="577"/>
      <c r="C2" s="577"/>
      <c r="D2" s="577"/>
      <c r="E2" s="577"/>
      <c r="F2" s="577"/>
      <c r="G2" s="577"/>
    </row>
    <row r="3" spans="1:11" ht="16" customHeight="1">
      <c r="A3" s="537" t="s">
        <v>630</v>
      </c>
      <c r="B3" s="538"/>
      <c r="C3" s="538"/>
      <c r="D3" s="538"/>
      <c r="E3" s="538"/>
      <c r="F3" s="538"/>
      <c r="G3" s="539"/>
      <c r="H3" s="546" t="s">
        <v>521</v>
      </c>
      <c r="I3" s="547"/>
      <c r="J3" s="547"/>
      <c r="K3" s="548"/>
    </row>
    <row r="4" spans="1:11" ht="16" customHeight="1">
      <c r="A4" s="540"/>
      <c r="B4" s="541"/>
      <c r="C4" s="541"/>
      <c r="D4" s="541"/>
      <c r="E4" s="541"/>
      <c r="F4" s="541"/>
      <c r="G4" s="542"/>
      <c r="H4" s="549"/>
      <c r="I4" s="550"/>
      <c r="J4" s="550"/>
      <c r="K4" s="551"/>
    </row>
    <row r="5" spans="1:11" ht="12" customHeight="1">
      <c r="A5" s="540"/>
      <c r="B5" s="541"/>
      <c r="C5" s="541"/>
      <c r="D5" s="541"/>
      <c r="E5" s="541"/>
      <c r="F5" s="541"/>
      <c r="G5" s="542"/>
      <c r="H5" s="549"/>
      <c r="I5" s="550"/>
      <c r="J5" s="550"/>
      <c r="K5" s="551"/>
    </row>
    <row r="6" spans="1:11" ht="17" customHeight="1">
      <c r="A6" s="543"/>
      <c r="B6" s="544"/>
      <c r="C6" s="544"/>
      <c r="D6" s="544"/>
      <c r="E6" s="544"/>
      <c r="F6" s="544"/>
      <c r="G6" s="545"/>
      <c r="H6" s="552"/>
      <c r="I6" s="553"/>
      <c r="J6" s="553"/>
      <c r="K6" s="554"/>
    </row>
    <row r="7" spans="1:11">
      <c r="A7" s="578" t="s">
        <v>501</v>
      </c>
      <c r="B7" s="579"/>
      <c r="C7" s="579"/>
      <c r="D7" s="579"/>
      <c r="E7" s="579"/>
      <c r="F7" s="579"/>
      <c r="G7" s="580"/>
    </row>
    <row r="8" spans="1:11">
      <c r="A8" s="115"/>
      <c r="B8" s="112" t="s">
        <v>502</v>
      </c>
      <c r="C8" s="170" t="s">
        <v>620</v>
      </c>
      <c r="D8" s="113" t="s">
        <v>618</v>
      </c>
      <c r="E8" s="112" t="s">
        <v>503</v>
      </c>
      <c r="F8" s="112" t="s">
        <v>36</v>
      </c>
      <c r="G8" s="114" t="s">
        <v>510</v>
      </c>
    </row>
    <row r="9" spans="1:11">
      <c r="A9" s="116" t="s">
        <v>511</v>
      </c>
      <c r="B9" s="162">
        <f>'Valuation output'!B3</f>
        <v>21765.4</v>
      </c>
      <c r="C9" s="171">
        <f>'Input sheet'!B26</f>
        <v>0.05</v>
      </c>
      <c r="D9" s="152">
        <f>'Input sheet'!B28</f>
        <v>0.05</v>
      </c>
      <c r="E9" s="152" t="s">
        <v>858</v>
      </c>
      <c r="F9" s="117">
        <f>'Valuation output'!M2</f>
        <v>4.58E-2</v>
      </c>
      <c r="G9" s="239" t="s">
        <v>631</v>
      </c>
      <c r="H9" s="555" t="s">
        <v>522</v>
      </c>
      <c r="I9" s="556"/>
      <c r="J9" s="556"/>
      <c r="K9" s="557"/>
    </row>
    <row r="10" spans="1:11" ht="34">
      <c r="A10" s="116" t="s">
        <v>512</v>
      </c>
      <c r="B10" s="117">
        <f>'Valuation output'!B4</f>
        <v>0.14063146094259696</v>
      </c>
      <c r="C10" s="171">
        <f>'Input sheet'!B27</f>
        <v>0.14063146094259696</v>
      </c>
      <c r="D10" s="153" t="s">
        <v>859</v>
      </c>
      <c r="E10" s="154">
        <f>'Valuation output'!G4</f>
        <v>0.14063146094259696</v>
      </c>
      <c r="F10" s="117">
        <f>'Valuation output'!M4</f>
        <v>0.14063146094259696</v>
      </c>
      <c r="G10" s="240" t="s">
        <v>632</v>
      </c>
      <c r="H10" s="558"/>
      <c r="I10" s="559"/>
      <c r="J10" s="559"/>
      <c r="K10" s="560"/>
    </row>
    <row r="11" spans="1:11">
      <c r="A11" s="116" t="s">
        <v>130</v>
      </c>
      <c r="B11" s="117">
        <f>'Valuation output'!B6</f>
        <v>0.17499999999999999</v>
      </c>
      <c r="C11" s="172"/>
      <c r="D11" s="152">
        <f>B11</f>
        <v>0.17499999999999999</v>
      </c>
      <c r="E11" s="152" t="s">
        <v>858</v>
      </c>
      <c r="F11" s="117">
        <f>'Valuation output'!M6</f>
        <v>0.25</v>
      </c>
      <c r="G11" s="241" t="s">
        <v>633</v>
      </c>
      <c r="H11" s="558"/>
      <c r="I11" s="559"/>
      <c r="J11" s="559"/>
      <c r="K11" s="560"/>
    </row>
    <row r="12" spans="1:11">
      <c r="A12" s="116" t="s">
        <v>860</v>
      </c>
      <c r="B12" s="118"/>
      <c r="C12" s="173">
        <f>'Input sheet'!B31</f>
        <v>1.7085376710318929</v>
      </c>
      <c r="D12" s="151">
        <f>'Input sheet'!B31</f>
        <v>1.7085376710318929</v>
      </c>
      <c r="E12" s="150">
        <f>'Input sheet'!B32</f>
        <v>1.7085376710318929</v>
      </c>
      <c r="F12" s="119">
        <f>'Valuation output'!M2/'Valuation output'!M40</f>
        <v>0.51986379114642467</v>
      </c>
      <c r="G12" s="241" t="s">
        <v>825</v>
      </c>
      <c r="H12" s="558"/>
      <c r="I12" s="559"/>
      <c r="J12" s="559"/>
      <c r="K12" s="560"/>
    </row>
    <row r="13" spans="1:11">
      <c r="A13" s="133" t="s">
        <v>524</v>
      </c>
      <c r="B13" s="135">
        <f>'Valuation output'!B40</f>
        <v>6.8749999999999992E-2</v>
      </c>
      <c r="C13" s="117" t="s">
        <v>525</v>
      </c>
      <c r="D13" s="575">
        <f>Diagnostics!C27</f>
        <v>0.144994867671038</v>
      </c>
      <c r="E13" s="576"/>
      <c r="F13" s="134">
        <f>'Valuation output'!M40</f>
        <v>8.809999999999997E-2</v>
      </c>
      <c r="G13" s="242" t="s">
        <v>826</v>
      </c>
      <c r="H13" s="558"/>
      <c r="I13" s="559"/>
      <c r="J13" s="559"/>
      <c r="K13" s="560"/>
    </row>
    <row r="14" spans="1:11" ht="17" thickBot="1">
      <c r="A14" s="120" t="s">
        <v>513</v>
      </c>
      <c r="B14" s="136"/>
      <c r="C14" s="118"/>
      <c r="D14" s="153">
        <f>'Valuation output'!C12</f>
        <v>7.0550157406465405E-2</v>
      </c>
      <c r="E14" s="154"/>
      <c r="F14" s="121">
        <f>'Valuation output'!M12</f>
        <v>8.8099999999999998E-2</v>
      </c>
      <c r="G14" s="243" t="s">
        <v>634</v>
      </c>
      <c r="H14" s="561"/>
      <c r="I14" s="562"/>
      <c r="J14" s="562"/>
      <c r="K14" s="563"/>
    </row>
    <row r="15" spans="1:11" ht="17" thickBot="1">
      <c r="A15" s="581" t="s">
        <v>505</v>
      </c>
      <c r="B15" s="581"/>
      <c r="C15" s="581"/>
      <c r="D15" s="581"/>
      <c r="E15" s="581"/>
      <c r="F15" s="581"/>
      <c r="G15" s="581"/>
    </row>
    <row r="16" spans="1:11">
      <c r="A16" s="111"/>
      <c r="B16" s="159" t="s">
        <v>5</v>
      </c>
      <c r="C16" s="159" t="s">
        <v>504</v>
      </c>
      <c r="D16" s="160" t="s">
        <v>516</v>
      </c>
      <c r="E16" s="160" t="s">
        <v>506</v>
      </c>
      <c r="F16" s="160" t="s">
        <v>514</v>
      </c>
      <c r="G16" s="161" t="s">
        <v>10</v>
      </c>
      <c r="H16" s="564" t="s">
        <v>523</v>
      </c>
      <c r="I16" s="565"/>
      <c r="J16" s="565"/>
      <c r="K16" s="566"/>
    </row>
    <row r="17" spans="1:11">
      <c r="A17" s="122">
        <v>1</v>
      </c>
      <c r="B17" s="162">
        <f>'Valuation output'!C3</f>
        <v>22853.670000000002</v>
      </c>
      <c r="C17" s="123">
        <f>'Valuation output'!C4</f>
        <v>0.14063146094259696</v>
      </c>
      <c r="D17" s="162">
        <f>B17*C17</f>
        <v>3213.9450000000002</v>
      </c>
      <c r="E17" s="162">
        <f>'Valuation output'!C7</f>
        <v>2651.504625</v>
      </c>
      <c r="F17" s="162">
        <f>'Valuation output'!C8</f>
        <v>668.80790477968492</v>
      </c>
      <c r="G17" s="164">
        <f>E17-F17</f>
        <v>1982.696720220315</v>
      </c>
      <c r="H17" s="567"/>
      <c r="I17" s="568"/>
      <c r="J17" s="568"/>
      <c r="K17" s="569"/>
    </row>
    <row r="18" spans="1:11">
      <c r="A18" s="122">
        <v>2</v>
      </c>
      <c r="B18" s="162">
        <f>'Valuation output'!D3</f>
        <v>23996.353500000005</v>
      </c>
      <c r="C18" s="123">
        <f>'Valuation output'!D4</f>
        <v>0.14063146094259696</v>
      </c>
      <c r="D18" s="162">
        <f t="shared" ref="D18:D27" si="0">B18*C18</f>
        <v>3374.6422500000003</v>
      </c>
      <c r="E18" s="162">
        <f>'Valuation output'!D7</f>
        <v>2784.0798562500004</v>
      </c>
      <c r="F18" s="162">
        <f>'Valuation output'!D8</f>
        <v>702.2483000186686</v>
      </c>
      <c r="G18" s="164">
        <f t="shared" ref="G18:G27" si="1">E18-F18</f>
        <v>2081.8315562313319</v>
      </c>
      <c r="H18" s="567"/>
      <c r="I18" s="568"/>
      <c r="J18" s="568"/>
      <c r="K18" s="569"/>
    </row>
    <row r="19" spans="1:11">
      <c r="A19" s="122">
        <v>3</v>
      </c>
      <c r="B19" s="162">
        <f>'Valuation output'!E3</f>
        <v>25196.171175000007</v>
      </c>
      <c r="C19" s="123">
        <f>'Valuation output'!E4</f>
        <v>0.14063146094259696</v>
      </c>
      <c r="D19" s="162">
        <f t="shared" si="0"/>
        <v>3543.3743625000006</v>
      </c>
      <c r="E19" s="162">
        <f>'Valuation output'!E7</f>
        <v>2923.2838490625008</v>
      </c>
      <c r="F19" s="162">
        <f>'Valuation output'!E8</f>
        <v>737.36071501960237</v>
      </c>
      <c r="G19" s="164">
        <f t="shared" si="1"/>
        <v>2185.9231340428987</v>
      </c>
      <c r="H19" s="567"/>
      <c r="I19" s="568"/>
      <c r="J19" s="568"/>
      <c r="K19" s="569"/>
    </row>
    <row r="20" spans="1:11">
      <c r="A20" s="122">
        <v>4</v>
      </c>
      <c r="B20" s="162">
        <f>'Valuation output'!F3</f>
        <v>26455.979733750009</v>
      </c>
      <c r="C20" s="123">
        <f>'Valuation output'!F4</f>
        <v>0.14063146094259696</v>
      </c>
      <c r="D20" s="162">
        <f t="shared" si="0"/>
        <v>3720.543080625001</v>
      </c>
      <c r="E20" s="162">
        <f>'Valuation output'!F7</f>
        <v>3069.4480415156258</v>
      </c>
      <c r="F20" s="162">
        <f>'Valuation output'!F8</f>
        <v>774.22875077058268</v>
      </c>
      <c r="G20" s="164">
        <f t="shared" si="1"/>
        <v>2295.2192907450431</v>
      </c>
      <c r="H20" s="567"/>
      <c r="I20" s="568"/>
      <c r="J20" s="568"/>
      <c r="K20" s="569"/>
    </row>
    <row r="21" spans="1:11">
      <c r="A21" s="122">
        <v>5</v>
      </c>
      <c r="B21" s="162">
        <f>'Valuation output'!G3</f>
        <v>27778.778720437513</v>
      </c>
      <c r="C21" s="123">
        <f>'Valuation output'!G4</f>
        <v>0.14063146094259696</v>
      </c>
      <c r="D21" s="162">
        <f t="shared" si="0"/>
        <v>3906.5702346562516</v>
      </c>
      <c r="E21" s="162">
        <f>'Valuation output'!G7</f>
        <v>3222.9204435914075</v>
      </c>
      <c r="F21" s="162">
        <f>'Valuation output'!G8</f>
        <v>799.28279314551799</v>
      </c>
      <c r="G21" s="164">
        <f t="shared" si="1"/>
        <v>2423.6376504458894</v>
      </c>
      <c r="H21" s="567"/>
      <c r="I21" s="568"/>
      <c r="J21" s="568"/>
      <c r="K21" s="569"/>
    </row>
    <row r="22" spans="1:11">
      <c r="A22" s="122">
        <v>6</v>
      </c>
      <c r="B22" s="162">
        <f>'Valuation output'!H3</f>
        <v>29144.383482334222</v>
      </c>
      <c r="C22" s="123">
        <f>'Valuation output'!H4</f>
        <v>0.14063146094259696</v>
      </c>
      <c r="D22" s="162">
        <f t="shared" si="0"/>
        <v>4098.6172273919528</v>
      </c>
      <c r="E22" s="162">
        <f>'Valuation output'!H7</f>
        <v>3319.8799541874819</v>
      </c>
      <c r="F22" s="162">
        <f>'Valuation output'!H8</f>
        <v>824.24674254671481</v>
      </c>
      <c r="G22" s="164">
        <f t="shared" si="1"/>
        <v>2495.6332116407671</v>
      </c>
      <c r="H22" s="567"/>
      <c r="I22" s="568"/>
      <c r="J22" s="568"/>
      <c r="K22" s="569"/>
    </row>
    <row r="23" spans="1:11">
      <c r="A23" s="122">
        <v>7</v>
      </c>
      <c r="B23" s="162">
        <f>'Valuation output'!I3</f>
        <v>30552.640092200611</v>
      </c>
      <c r="C23" s="123">
        <f>'Valuation output'!I4</f>
        <v>0.14063146094259696</v>
      </c>
      <c r="D23" s="162">
        <f t="shared" si="0"/>
        <v>4296.6624118195323</v>
      </c>
      <c r="E23" s="162">
        <f>'Valuation output'!I7</f>
        <v>3415.846617396528</v>
      </c>
      <c r="F23" s="162">
        <f>'Valuation output'!I8</f>
        <v>849.05318517299747</v>
      </c>
      <c r="G23" s="164">
        <f t="shared" si="1"/>
        <v>2566.7934322235305</v>
      </c>
      <c r="H23" s="567"/>
      <c r="I23" s="568"/>
      <c r="J23" s="568"/>
      <c r="K23" s="569"/>
    </row>
    <row r="24" spans="1:11">
      <c r="A24" s="122">
        <v>8</v>
      </c>
      <c r="B24" s="162">
        <f>'Valuation output'!J3</f>
        <v>32003.279443778294</v>
      </c>
      <c r="C24" s="123">
        <f>'Valuation output'!J4</f>
        <v>0.14063146094259696</v>
      </c>
      <c r="D24" s="162">
        <f t="shared" si="0"/>
        <v>4500.6679431327229</v>
      </c>
      <c r="E24" s="162">
        <f>'Valuation output'!J7</f>
        <v>3510.5209956435237</v>
      </c>
      <c r="F24" s="162">
        <f>'Valuation output'!J8</f>
        <v>873.63186575589054</v>
      </c>
      <c r="G24" s="164">
        <f t="shared" si="1"/>
        <v>2636.8891298876333</v>
      </c>
      <c r="H24" s="567"/>
      <c r="I24" s="568"/>
      <c r="J24" s="568"/>
      <c r="K24" s="569"/>
    </row>
    <row r="25" spans="1:11">
      <c r="A25" s="122">
        <v>9</v>
      </c>
      <c r="B25" s="162">
        <f>'Valuation output'!K3</f>
        <v>33495.912397036111</v>
      </c>
      <c r="C25" s="123">
        <f>'Valuation output'!K4</f>
        <v>0.14063146094259696</v>
      </c>
      <c r="D25" s="162">
        <f t="shared" si="0"/>
        <v>4710.5790960004333</v>
      </c>
      <c r="E25" s="162">
        <f>'Valuation output'!K7</f>
        <v>3603.5930084403312</v>
      </c>
      <c r="F25" s="162">
        <f>'Valuation output'!K8</f>
        <v>897.90984055839533</v>
      </c>
      <c r="G25" s="164">
        <f t="shared" si="1"/>
        <v>2705.6831678819358</v>
      </c>
      <c r="H25" s="567"/>
      <c r="I25" s="568"/>
      <c r="J25" s="568"/>
      <c r="K25" s="569"/>
    </row>
    <row r="26" spans="1:11">
      <c r="A26" s="122">
        <v>10</v>
      </c>
      <c r="B26" s="162">
        <f>'Valuation output'!L3</f>
        <v>35030.02518482037</v>
      </c>
      <c r="C26" s="123">
        <f>'Valuation output'!L4</f>
        <v>0.14063146094259696</v>
      </c>
      <c r="D26" s="162">
        <f t="shared" si="0"/>
        <v>4926.3236185972537</v>
      </c>
      <c r="E26" s="162">
        <f>'Valuation output'!L7</f>
        <v>3694.74271394794</v>
      </c>
      <c r="F26" s="162">
        <f>'Valuation output'!L8</f>
        <v>939.03411125596767</v>
      </c>
      <c r="G26" s="164">
        <f t="shared" si="1"/>
        <v>2755.7086026919724</v>
      </c>
      <c r="H26" s="567"/>
      <c r="I26" s="568"/>
      <c r="J26" s="568"/>
      <c r="K26" s="569"/>
    </row>
    <row r="27" spans="1:11" ht="17" thickBot="1">
      <c r="A27" s="124" t="s">
        <v>38</v>
      </c>
      <c r="B27" s="163">
        <f>'Valuation output'!M3</f>
        <v>36634.400338285144</v>
      </c>
      <c r="C27" s="125">
        <f>'Valuation output'!M4</f>
        <v>0.14063146094259696</v>
      </c>
      <c r="D27" s="162">
        <f t="shared" si="0"/>
        <v>5151.9492403290078</v>
      </c>
      <c r="E27" s="163">
        <f>'Valuation output'!M7</f>
        <v>3863.9619302467559</v>
      </c>
      <c r="F27" s="163">
        <f>'Valuation output'!M8</f>
        <v>2008.7338979035353</v>
      </c>
      <c r="G27" s="164">
        <f t="shared" si="1"/>
        <v>1855.2280323432205</v>
      </c>
      <c r="H27" s="570"/>
      <c r="I27" s="571"/>
      <c r="J27" s="571"/>
      <c r="K27" s="572"/>
    </row>
    <row r="28" spans="1:11" ht="17" thickBot="1">
      <c r="A28" s="581" t="s">
        <v>507</v>
      </c>
      <c r="B28" s="581"/>
      <c r="C28" s="581"/>
      <c r="D28" s="581"/>
      <c r="E28" s="581"/>
      <c r="F28" s="581"/>
      <c r="G28" s="581"/>
    </row>
    <row r="29" spans="1:11">
      <c r="A29" s="535" t="s">
        <v>508</v>
      </c>
      <c r="B29" s="536"/>
      <c r="C29" s="536"/>
      <c r="D29" s="431">
        <f>'Valuation output'!B18</f>
        <v>43858.818731518222</v>
      </c>
      <c r="E29" s="126"/>
      <c r="F29" s="127"/>
      <c r="G29" s="128"/>
      <c r="H29" s="573" t="s">
        <v>526</v>
      </c>
      <c r="I29" s="559"/>
      <c r="J29" s="559"/>
      <c r="K29" s="559"/>
    </row>
    <row r="30" spans="1:11">
      <c r="A30" s="526" t="s">
        <v>509</v>
      </c>
      <c r="B30" s="527"/>
      <c r="C30" s="527"/>
      <c r="D30" s="431">
        <f>'Valuation output'!B19</f>
        <v>21122.991836222696</v>
      </c>
      <c r="E30" s="129"/>
      <c r="F30" s="130"/>
      <c r="G30" s="131"/>
      <c r="H30" s="573"/>
      <c r="I30" s="559"/>
      <c r="J30" s="559"/>
      <c r="K30" s="559"/>
    </row>
    <row r="31" spans="1:11">
      <c r="A31" s="526" t="s">
        <v>39</v>
      </c>
      <c r="B31" s="527"/>
      <c r="C31" s="527"/>
      <c r="D31" s="431">
        <f>'Valuation output'!B20</f>
        <v>16394.538929095321</v>
      </c>
      <c r="E31" s="129"/>
      <c r="F31" s="130"/>
      <c r="G31" s="131"/>
      <c r="H31" s="573"/>
      <c r="I31" s="559"/>
      <c r="J31" s="559"/>
      <c r="K31" s="559"/>
    </row>
    <row r="32" spans="1:11">
      <c r="A32" s="526" t="s">
        <v>37</v>
      </c>
      <c r="B32" s="527"/>
      <c r="C32" s="527"/>
      <c r="D32" s="431">
        <f>'Valuation output'!B21</f>
        <v>37517.530765318021</v>
      </c>
      <c r="E32" s="129"/>
      <c r="F32" s="130"/>
      <c r="G32" s="131"/>
      <c r="H32" s="573"/>
      <c r="I32" s="559"/>
      <c r="J32" s="559"/>
      <c r="K32" s="559"/>
    </row>
    <row r="33" spans="1:13">
      <c r="A33" s="526" t="s">
        <v>517</v>
      </c>
      <c r="B33" s="527"/>
      <c r="C33" s="527"/>
      <c r="D33" s="431">
        <f>D32-'Valuation output'!B24</f>
        <v>0</v>
      </c>
      <c r="E33" s="574" t="s">
        <v>100</v>
      </c>
      <c r="F33" s="574"/>
      <c r="G33" s="382">
        <f>'Valuation output'!B22</f>
        <v>0</v>
      </c>
      <c r="H33" s="559"/>
      <c r="I33" s="559"/>
      <c r="J33" s="559"/>
      <c r="K33" s="559"/>
    </row>
    <row r="34" spans="1:13">
      <c r="A34" s="526" t="s">
        <v>605</v>
      </c>
      <c r="B34" s="527"/>
      <c r="C34" s="527"/>
      <c r="D34" s="431">
        <f>'Valuation output'!B25+'Valuation output'!B26</f>
        <v>46621</v>
      </c>
      <c r="E34" s="129"/>
      <c r="F34" s="130"/>
      <c r="G34" s="131"/>
      <c r="H34" s="573"/>
      <c r="I34" s="559"/>
      <c r="J34" s="559"/>
      <c r="K34" s="559"/>
    </row>
    <row r="35" spans="1:13">
      <c r="A35" s="526" t="s">
        <v>518</v>
      </c>
      <c r="B35" s="527"/>
      <c r="C35" s="527"/>
      <c r="D35" s="431">
        <f>'Valuation output'!B27+'Valuation output'!B28</f>
        <v>40119</v>
      </c>
      <c r="E35" s="129"/>
      <c r="F35" s="130"/>
      <c r="G35" s="131"/>
      <c r="H35" s="573"/>
      <c r="I35" s="559"/>
      <c r="J35" s="559"/>
      <c r="K35" s="559"/>
    </row>
    <row r="36" spans="1:13">
      <c r="A36" s="526" t="s">
        <v>45</v>
      </c>
      <c r="B36" s="527"/>
      <c r="C36" s="527"/>
      <c r="D36" s="431">
        <f>D32-D33-D34+D35</f>
        <v>31015.530765318021</v>
      </c>
      <c r="E36" s="129"/>
      <c r="F36" s="130"/>
      <c r="G36" s="131"/>
      <c r="H36" s="573"/>
      <c r="I36" s="559"/>
      <c r="J36" s="559"/>
      <c r="K36" s="559"/>
    </row>
    <row r="37" spans="1:13">
      <c r="A37" s="526" t="s">
        <v>519</v>
      </c>
      <c r="B37" s="527"/>
      <c r="C37" s="527"/>
      <c r="D37" s="431">
        <f>'Valuation output'!B30</f>
        <v>0</v>
      </c>
      <c r="E37" s="129"/>
      <c r="F37" s="130"/>
      <c r="G37" s="131"/>
      <c r="H37" s="573"/>
      <c r="I37" s="559"/>
      <c r="J37" s="559"/>
      <c r="K37" s="559"/>
    </row>
    <row r="38" spans="1:13" ht="17" thickBot="1">
      <c r="A38" s="529" t="s">
        <v>515</v>
      </c>
      <c r="B38" s="530"/>
      <c r="C38" s="531"/>
      <c r="D38" s="432">
        <f>'Valuation output'!B32</f>
        <v>4315</v>
      </c>
      <c r="G38" s="131"/>
      <c r="H38" s="573"/>
      <c r="I38" s="559"/>
      <c r="J38" s="559"/>
      <c r="K38" s="559"/>
    </row>
    <row r="39" spans="1:13" ht="17" thickBot="1">
      <c r="A39" s="582" t="s">
        <v>495</v>
      </c>
      <c r="B39" s="583"/>
      <c r="C39" s="584"/>
      <c r="D39" s="431">
        <f>(D36-D37)/D38</f>
        <v>7.1878402700621136</v>
      </c>
      <c r="E39" s="528" t="s">
        <v>520</v>
      </c>
      <c r="F39" s="528"/>
      <c r="G39" s="137">
        <f>'Input sheet'!B22</f>
        <v>72.28</v>
      </c>
      <c r="H39" s="573"/>
      <c r="I39" s="559"/>
      <c r="J39" s="559"/>
      <c r="K39" s="559"/>
      <c r="M39" s="148"/>
    </row>
    <row r="40" spans="1:13">
      <c r="M40" s="144"/>
    </row>
  </sheetData>
  <mergeCells count="24">
    <mergeCell ref="A1:F1"/>
    <mergeCell ref="A37:C37"/>
    <mergeCell ref="A29:C29"/>
    <mergeCell ref="A3:G6"/>
    <mergeCell ref="H3:K6"/>
    <mergeCell ref="H9:K14"/>
    <mergeCell ref="H16:K27"/>
    <mergeCell ref="H29:K39"/>
    <mergeCell ref="E33:F33"/>
    <mergeCell ref="D13:E13"/>
    <mergeCell ref="A2:G2"/>
    <mergeCell ref="A7:G7"/>
    <mergeCell ref="A15:G15"/>
    <mergeCell ref="A28:G28"/>
    <mergeCell ref="A30:C30"/>
    <mergeCell ref="A39:C39"/>
    <mergeCell ref="A33:C33"/>
    <mergeCell ref="A32:C32"/>
    <mergeCell ref="E39:F39"/>
    <mergeCell ref="A31:C31"/>
    <mergeCell ref="A34:C34"/>
    <mergeCell ref="A35:C35"/>
    <mergeCell ref="A38:C38"/>
    <mergeCell ref="A36:C36"/>
  </mergeCells>
  <pageMargins left="0.75" right="0.75" top="1" bottom="1" header="0.3" footer="0.3"/>
  <pageSetup orientation="portrait" horizontalDpi="0" verticalDpi="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8"/>
  <sheetViews>
    <sheetView zoomScale="88" zoomScaleNormal="88" workbookViewId="0">
      <selection activeCell="I47" sqref="I47"/>
    </sheetView>
  </sheetViews>
  <sheetFormatPr baseColWidth="10" defaultRowHeight="14"/>
  <cols>
    <col min="1" max="1" width="27.83203125" style="297" customWidth="1"/>
    <col min="2" max="2" width="13" style="297" customWidth="1"/>
    <col min="3" max="3" width="10.83203125" style="297"/>
    <col min="4" max="4" width="16.1640625" style="297" customWidth="1"/>
    <col min="5" max="5" width="12.6640625" style="297" bestFit="1" customWidth="1"/>
    <col min="6" max="10" width="11.5" style="297" bestFit="1" customWidth="1"/>
    <col min="11" max="13" width="13" style="297" bestFit="1" customWidth="1"/>
    <col min="14" max="14" width="13.6640625" style="297" bestFit="1" customWidth="1"/>
    <col min="15" max="15" width="16" style="297" customWidth="1"/>
    <col min="16" max="16" width="10.83203125" style="297"/>
  </cols>
  <sheetData>
    <row r="1" spans="1:16" s="2" customFormat="1">
      <c r="A1" s="296" t="s">
        <v>845</v>
      </c>
      <c r="B1" s="296"/>
      <c r="C1" s="296"/>
      <c r="D1" s="296"/>
      <c r="E1" s="296"/>
      <c r="F1" s="296"/>
      <c r="G1" s="296"/>
      <c r="H1" s="296"/>
      <c r="I1" s="296"/>
      <c r="J1" s="296"/>
      <c r="K1" s="296"/>
      <c r="L1" s="296"/>
      <c r="M1" s="296"/>
      <c r="N1" s="296"/>
      <c r="O1" s="296"/>
      <c r="P1" s="296"/>
    </row>
    <row r="2" spans="1:16" s="2" customFormat="1" ht="15" thickBot="1">
      <c r="A2" s="296"/>
      <c r="B2" s="296"/>
      <c r="C2" s="296"/>
      <c r="D2" s="296"/>
      <c r="E2" s="296"/>
      <c r="F2" s="296"/>
      <c r="G2" s="296"/>
      <c r="H2" s="296"/>
      <c r="I2" s="296"/>
      <c r="J2" s="296"/>
      <c r="K2" s="296"/>
      <c r="L2" s="296"/>
      <c r="M2" s="296"/>
      <c r="N2" s="296"/>
      <c r="O2" s="296"/>
      <c r="P2" s="296"/>
    </row>
    <row r="3" spans="1:16" ht="17" thickBot="1">
      <c r="A3" s="601" t="str">
        <f>'Input sheet'!B4</f>
        <v>Almarai</v>
      </c>
      <c r="B3" s="602"/>
      <c r="C3" s="602"/>
      <c r="D3" s="602"/>
      <c r="E3" s="602"/>
      <c r="F3" s="602"/>
      <c r="G3" s="602"/>
      <c r="H3" s="602"/>
      <c r="I3" s="602"/>
      <c r="J3" s="602"/>
      <c r="K3" s="602"/>
      <c r="L3" s="602"/>
      <c r="M3" s="602"/>
      <c r="N3" s="603"/>
      <c r="O3" s="593">
        <f>'Input sheet'!B3</f>
        <v>44592</v>
      </c>
      <c r="P3" s="594"/>
    </row>
    <row r="4" spans="1:16" ht="15" thickBot="1">
      <c r="A4" s="434"/>
      <c r="P4" s="435"/>
    </row>
    <row r="5" spans="1:16" ht="15" thickBot="1">
      <c r="A5" s="590" t="s">
        <v>843</v>
      </c>
      <c r="B5" s="591"/>
      <c r="C5" s="592"/>
      <c r="E5" s="585" t="s">
        <v>839</v>
      </c>
      <c r="F5" s="586"/>
      <c r="H5" s="585" t="s">
        <v>840</v>
      </c>
      <c r="I5" s="586"/>
      <c r="K5" s="585" t="s">
        <v>841</v>
      </c>
      <c r="L5" s="586"/>
      <c r="P5" s="435"/>
    </row>
    <row r="6" spans="1:16" ht="14" customHeight="1">
      <c r="A6" s="434"/>
      <c r="B6" s="370" t="s">
        <v>221</v>
      </c>
      <c r="C6" s="370" t="s">
        <v>842</v>
      </c>
      <c r="E6" s="595" t="str">
        <f>'Stories to Numbers'!G9</f>
        <v>Disruption platform in multiple businesses</v>
      </c>
      <c r="F6" s="596"/>
      <c r="H6" s="595" t="str">
        <f>'Stories to Numbers'!G10</f>
        <v>Margins improve, aided by cloud business &amp; continued economies of scale.</v>
      </c>
      <c r="I6" s="596"/>
      <c r="K6" s="595" t="str">
        <f>'Stories to Numbers'!G12</f>
        <v>Maintained at Amazon's current level</v>
      </c>
      <c r="L6" s="596"/>
      <c r="O6" s="604" t="s">
        <v>534</v>
      </c>
      <c r="P6" s="605"/>
    </row>
    <row r="7" spans="1:16">
      <c r="A7" s="436" t="s">
        <v>834</v>
      </c>
      <c r="B7" s="356">
        <f>'Input sheet'!I25</f>
        <v>7.6324035895078524E-2</v>
      </c>
      <c r="C7" s="356">
        <f>'Input sheet'!K25</f>
        <v>9.6518456561922261E-2</v>
      </c>
      <c r="E7" s="597"/>
      <c r="F7" s="598"/>
      <c r="H7" s="597"/>
      <c r="I7" s="598"/>
      <c r="K7" s="597"/>
      <c r="L7" s="598"/>
      <c r="O7" s="354" t="s">
        <v>838</v>
      </c>
      <c r="P7" s="437">
        <f>O16</f>
        <v>4.58E-2</v>
      </c>
    </row>
    <row r="8" spans="1:16">
      <c r="A8" s="436" t="s">
        <v>835</v>
      </c>
      <c r="B8" s="364">
        <f>'Valuation output'!B3</f>
        <v>21765.4</v>
      </c>
      <c r="E8" s="597"/>
      <c r="F8" s="598"/>
      <c r="H8" s="597"/>
      <c r="I8" s="598"/>
      <c r="K8" s="597"/>
      <c r="L8" s="598"/>
      <c r="O8" s="354" t="s">
        <v>135</v>
      </c>
      <c r="P8" s="437">
        <f>'Valuation output'!M12</f>
        <v>8.8099999999999998E-2</v>
      </c>
    </row>
    <row r="9" spans="1:16">
      <c r="A9" s="436" t="s">
        <v>504</v>
      </c>
      <c r="B9" s="356">
        <f>'Valuation output'!B4</f>
        <v>0.14063146094259696</v>
      </c>
      <c r="C9" s="356">
        <f>'Input sheet'!K26</f>
        <v>8.5358248393229127E-2</v>
      </c>
      <c r="E9" s="597"/>
      <c r="F9" s="598"/>
      <c r="H9" s="597"/>
      <c r="I9" s="598"/>
      <c r="K9" s="597"/>
      <c r="L9" s="598"/>
      <c r="O9" s="354" t="s">
        <v>524</v>
      </c>
      <c r="P9" s="437">
        <f>'Valuation output'!M40</f>
        <v>8.809999999999997E-2</v>
      </c>
    </row>
    <row r="10" spans="1:16">
      <c r="A10" s="436" t="s">
        <v>836</v>
      </c>
      <c r="B10" s="364">
        <f>'Valuation output'!B5</f>
        <v>3060.9</v>
      </c>
      <c r="E10" s="597"/>
      <c r="F10" s="598"/>
      <c r="H10" s="597"/>
      <c r="I10" s="598"/>
      <c r="K10" s="597"/>
      <c r="L10" s="598"/>
      <c r="O10" s="354" t="s">
        <v>470</v>
      </c>
      <c r="P10" s="437">
        <f>P7/P9</f>
        <v>0.51986379114642467</v>
      </c>
    </row>
    <row r="11" spans="1:16">
      <c r="A11" s="436" t="s">
        <v>506</v>
      </c>
      <c r="B11" s="364">
        <f>'Valuation output'!B7</f>
        <v>2525.2424999999998</v>
      </c>
      <c r="E11" s="597"/>
      <c r="F11" s="598"/>
      <c r="H11" s="597"/>
      <c r="I11" s="598"/>
      <c r="K11" s="597"/>
      <c r="L11" s="598"/>
      <c r="P11" s="438"/>
    </row>
    <row r="12" spans="1:16">
      <c r="A12" s="434"/>
      <c r="E12" s="599"/>
      <c r="F12" s="600"/>
      <c r="H12" s="599"/>
      <c r="I12" s="600"/>
      <c r="K12" s="599"/>
      <c r="L12" s="600"/>
      <c r="P12" s="438"/>
    </row>
    <row r="13" spans="1:16">
      <c r="A13" s="434"/>
      <c r="P13" s="438"/>
    </row>
    <row r="14" spans="1:16" ht="15" thickBot="1">
      <c r="A14" s="434"/>
      <c r="P14" s="435"/>
    </row>
    <row r="15" spans="1:16">
      <c r="A15" s="439" t="str">
        <f>'Valuation output'!A19</f>
        <v>PV(Terminal value)</v>
      </c>
      <c r="B15" s="365">
        <f>'Valuation output'!B19</f>
        <v>21122.991836222696</v>
      </c>
      <c r="D15" s="354"/>
      <c r="E15" s="357">
        <f>'Valuation output'!C1</f>
        <v>1</v>
      </c>
      <c r="F15" s="357">
        <f>'Valuation output'!D1</f>
        <v>2</v>
      </c>
      <c r="G15" s="357">
        <f>'Valuation output'!E1</f>
        <v>3</v>
      </c>
      <c r="H15" s="357">
        <f>'Valuation output'!F1</f>
        <v>4</v>
      </c>
      <c r="I15" s="357">
        <f>'Valuation output'!G1</f>
        <v>5</v>
      </c>
      <c r="J15" s="357">
        <f>'Valuation output'!H1</f>
        <v>6</v>
      </c>
      <c r="K15" s="357">
        <f>'Valuation output'!I1</f>
        <v>7</v>
      </c>
      <c r="L15" s="357">
        <f>'Valuation output'!J1</f>
        <v>8</v>
      </c>
      <c r="M15" s="357">
        <f>'Valuation output'!K1</f>
        <v>9</v>
      </c>
      <c r="N15" s="357">
        <f>'Valuation output'!L1</f>
        <v>10</v>
      </c>
      <c r="O15" s="358" t="str">
        <f>'Valuation output'!M1</f>
        <v>Terminal year</v>
      </c>
      <c r="P15" s="440"/>
    </row>
    <row r="16" spans="1:16">
      <c r="A16" s="441" t="str">
        <f>'Valuation output'!A20</f>
        <v>PV (CF over next 10 years)</v>
      </c>
      <c r="B16" s="366">
        <f>'Valuation output'!B20</f>
        <v>16394.538929095321</v>
      </c>
      <c r="D16" s="354" t="s">
        <v>834</v>
      </c>
      <c r="E16" s="356">
        <f>'Valuation output'!C2</f>
        <v>0.05</v>
      </c>
      <c r="F16" s="356">
        <f>'Valuation output'!D2</f>
        <v>0.05</v>
      </c>
      <c r="G16" s="356">
        <f>'Valuation output'!E2</f>
        <v>0.05</v>
      </c>
      <c r="H16" s="356">
        <f>'Valuation output'!F2</f>
        <v>0.05</v>
      </c>
      <c r="I16" s="356">
        <f>'Valuation output'!G2</f>
        <v>0.05</v>
      </c>
      <c r="J16" s="356">
        <f>'Valuation output'!H2</f>
        <v>4.9160000000000002E-2</v>
      </c>
      <c r="K16" s="356">
        <f>'Valuation output'!I2</f>
        <v>4.8320000000000002E-2</v>
      </c>
      <c r="L16" s="356">
        <f>'Valuation output'!J2</f>
        <v>4.7480000000000001E-2</v>
      </c>
      <c r="M16" s="356">
        <f>'Valuation output'!K2</f>
        <v>4.6640000000000001E-2</v>
      </c>
      <c r="N16" s="356">
        <f>'Valuation output'!L2</f>
        <v>4.58E-2</v>
      </c>
      <c r="O16" s="359">
        <f>'Valuation output'!M2</f>
        <v>4.58E-2</v>
      </c>
      <c r="P16" s="435"/>
    </row>
    <row r="17" spans="1:16">
      <c r="A17" s="442" t="str">
        <f>'Valuation output'!A22</f>
        <v>Probability of failure =</v>
      </c>
      <c r="B17" s="367">
        <f>'Valuation output'!B22</f>
        <v>0</v>
      </c>
      <c r="D17" s="354" t="s">
        <v>835</v>
      </c>
      <c r="E17" s="360">
        <f>'Valuation output'!C3</f>
        <v>22853.670000000002</v>
      </c>
      <c r="F17" s="360">
        <f>'Valuation output'!D3</f>
        <v>23996.353500000005</v>
      </c>
      <c r="G17" s="360">
        <f>'Valuation output'!E3</f>
        <v>25196.171175000007</v>
      </c>
      <c r="H17" s="360">
        <f>'Valuation output'!F3</f>
        <v>26455.979733750009</v>
      </c>
      <c r="I17" s="360">
        <f>'Valuation output'!G3</f>
        <v>27778.778720437513</v>
      </c>
      <c r="J17" s="360">
        <f>'Valuation output'!H3</f>
        <v>29144.383482334222</v>
      </c>
      <c r="K17" s="360">
        <f>'Valuation output'!I3</f>
        <v>30552.640092200611</v>
      </c>
      <c r="L17" s="360">
        <f>'Valuation output'!J3</f>
        <v>32003.279443778294</v>
      </c>
      <c r="M17" s="360">
        <f>'Valuation output'!K3</f>
        <v>33495.912397036111</v>
      </c>
      <c r="N17" s="360">
        <f>'Valuation output'!L3</f>
        <v>35030.02518482037</v>
      </c>
      <c r="O17" s="361">
        <f>'Valuation output'!M3</f>
        <v>36634.400338285144</v>
      </c>
      <c r="P17" s="435"/>
    </row>
    <row r="18" spans="1:16">
      <c r="A18" s="441" t="str">
        <f>'Valuation output'!A24</f>
        <v>Value of operating assets =</v>
      </c>
      <c r="B18" s="368">
        <f>'Valuation output'!B24</f>
        <v>37517.530765318021</v>
      </c>
      <c r="D18" s="354" t="s">
        <v>504</v>
      </c>
      <c r="E18" s="356">
        <f>'Valuation output'!C4</f>
        <v>0.14063146094259696</v>
      </c>
      <c r="F18" s="356">
        <f>'Valuation output'!D4</f>
        <v>0.14063146094259696</v>
      </c>
      <c r="G18" s="356">
        <f>'Valuation output'!E4</f>
        <v>0.14063146094259696</v>
      </c>
      <c r="H18" s="356">
        <f>'Valuation output'!F4</f>
        <v>0.14063146094259696</v>
      </c>
      <c r="I18" s="356">
        <f>'Valuation output'!G4</f>
        <v>0.14063146094259696</v>
      </c>
      <c r="J18" s="356">
        <f>'Valuation output'!H4</f>
        <v>0.14063146094259696</v>
      </c>
      <c r="K18" s="356">
        <f>'Valuation output'!I4</f>
        <v>0.14063146094259696</v>
      </c>
      <c r="L18" s="356">
        <f>'Valuation output'!J4</f>
        <v>0.14063146094259696</v>
      </c>
      <c r="M18" s="356">
        <f>'Valuation output'!K4</f>
        <v>0.14063146094259696</v>
      </c>
      <c r="N18" s="356">
        <f>'Valuation output'!L4</f>
        <v>0.14063146094259696</v>
      </c>
      <c r="O18" s="359">
        <f>'Valuation output'!M4</f>
        <v>0.14063146094259696</v>
      </c>
      <c r="P18" s="435"/>
    </row>
    <row r="19" spans="1:16">
      <c r="A19" s="441" t="str">
        <f>'Valuation output'!A25</f>
        <v xml:space="preserve"> - Debt</v>
      </c>
      <c r="B19" s="368">
        <f>'Valuation output'!B25</f>
        <v>45063</v>
      </c>
      <c r="D19" s="354" t="s">
        <v>836</v>
      </c>
      <c r="E19" s="360">
        <f>'Valuation output'!C5</f>
        <v>3213.9450000000002</v>
      </c>
      <c r="F19" s="360">
        <f>'Valuation output'!D5</f>
        <v>3374.6422500000003</v>
      </c>
      <c r="G19" s="360">
        <f>'Valuation output'!E5</f>
        <v>3543.3743625000006</v>
      </c>
      <c r="H19" s="360">
        <f>'Valuation output'!F5</f>
        <v>3720.543080625001</v>
      </c>
      <c r="I19" s="360">
        <f>'Valuation output'!G5</f>
        <v>3906.5702346562516</v>
      </c>
      <c r="J19" s="360">
        <f>'Valuation output'!H5</f>
        <v>4098.6172273919528</v>
      </c>
      <c r="K19" s="360">
        <f>'Valuation output'!I5</f>
        <v>4296.6624118195323</v>
      </c>
      <c r="L19" s="360">
        <f>'Valuation output'!J5</f>
        <v>4500.6679431327229</v>
      </c>
      <c r="M19" s="360">
        <f>'Valuation output'!K5</f>
        <v>4710.5790960004333</v>
      </c>
      <c r="N19" s="360">
        <f>'Valuation output'!L5</f>
        <v>4926.3236185972537</v>
      </c>
      <c r="O19" s="361">
        <f>'Valuation output'!M5</f>
        <v>5151.9492403290078</v>
      </c>
      <c r="P19" s="435"/>
    </row>
    <row r="20" spans="1:16">
      <c r="A20" s="441" t="str">
        <f>'Valuation output'!A26</f>
        <v xml:space="preserve"> - Minority interests</v>
      </c>
      <c r="B20" s="368">
        <f>'Valuation output'!B26</f>
        <v>1558</v>
      </c>
      <c r="D20" s="354" t="s">
        <v>506</v>
      </c>
      <c r="E20" s="360">
        <f>'Valuation output'!C7</f>
        <v>2651.504625</v>
      </c>
      <c r="F20" s="360">
        <f>'Valuation output'!D7</f>
        <v>2784.0798562500004</v>
      </c>
      <c r="G20" s="360">
        <f>'Valuation output'!E7</f>
        <v>2923.2838490625008</v>
      </c>
      <c r="H20" s="360">
        <f>'Valuation output'!F7</f>
        <v>3069.4480415156258</v>
      </c>
      <c r="I20" s="360">
        <f>'Valuation output'!G7</f>
        <v>3222.9204435914075</v>
      </c>
      <c r="J20" s="360">
        <f>'Valuation output'!H7</f>
        <v>3319.8799541874819</v>
      </c>
      <c r="K20" s="360">
        <f>'Valuation output'!I7</f>
        <v>3415.846617396528</v>
      </c>
      <c r="L20" s="360">
        <f>'Valuation output'!J7</f>
        <v>3510.5209956435237</v>
      </c>
      <c r="M20" s="360">
        <f>'Valuation output'!K7</f>
        <v>3603.5930084403312</v>
      </c>
      <c r="N20" s="360">
        <f>'Valuation output'!L7</f>
        <v>3694.74271394794</v>
      </c>
      <c r="O20" s="361">
        <f>'Valuation output'!M7</f>
        <v>3863.9619302467559</v>
      </c>
      <c r="P20" s="435"/>
    </row>
    <row r="21" spans="1:16">
      <c r="A21" s="441" t="str">
        <f>'Valuation output'!A27</f>
        <v xml:space="preserve"> +  Cash</v>
      </c>
      <c r="B21" s="368">
        <f>'Valuation output'!B27</f>
        <v>19000</v>
      </c>
      <c r="D21" s="354" t="s">
        <v>532</v>
      </c>
      <c r="E21" s="360">
        <f>'Valuation output'!C8</f>
        <v>668.80790477968492</v>
      </c>
      <c r="F21" s="360">
        <f>'Valuation output'!D8</f>
        <v>702.2483000186686</v>
      </c>
      <c r="G21" s="360">
        <f>'Valuation output'!E8</f>
        <v>737.36071501960237</v>
      </c>
      <c r="H21" s="360">
        <f>'Valuation output'!F8</f>
        <v>774.22875077058268</v>
      </c>
      <c r="I21" s="360">
        <f>'Valuation output'!G8</f>
        <v>799.28279314551799</v>
      </c>
      <c r="J21" s="360">
        <f>'Valuation output'!H8</f>
        <v>824.24674254671481</v>
      </c>
      <c r="K21" s="360">
        <f>'Valuation output'!I8</f>
        <v>849.05318517299747</v>
      </c>
      <c r="L21" s="360">
        <f>'Valuation output'!J8</f>
        <v>873.63186575589054</v>
      </c>
      <c r="M21" s="360">
        <f>'Valuation output'!K8</f>
        <v>897.90984055839533</v>
      </c>
      <c r="N21" s="360">
        <f>'Valuation output'!L8</f>
        <v>939.03411125596767</v>
      </c>
      <c r="O21" s="361">
        <f>'Valuation output'!M8</f>
        <v>2008.7338979035353</v>
      </c>
      <c r="P21" s="435"/>
    </row>
    <row r="22" spans="1:16">
      <c r="A22" s="441" t="str">
        <f>'Valuation output'!A28</f>
        <v xml:space="preserve"> + Non-operating assets</v>
      </c>
      <c r="B22" s="368">
        <f>'Valuation output'!B28</f>
        <v>21119</v>
      </c>
      <c r="D22" s="355" t="s">
        <v>10</v>
      </c>
      <c r="E22" s="361">
        <f>'Valuation output'!C9</f>
        <v>1982.696720220315</v>
      </c>
      <c r="F22" s="361">
        <f>'Valuation output'!D9</f>
        <v>2081.8315562313319</v>
      </c>
      <c r="G22" s="361">
        <f>'Valuation output'!E9</f>
        <v>2185.9231340428987</v>
      </c>
      <c r="H22" s="361">
        <f>'Valuation output'!F9</f>
        <v>2295.2192907450431</v>
      </c>
      <c r="I22" s="361">
        <f>'Valuation output'!G9</f>
        <v>2423.6376504458894</v>
      </c>
      <c r="J22" s="361">
        <f>'Valuation output'!H9</f>
        <v>2495.6332116407671</v>
      </c>
      <c r="K22" s="361">
        <f>'Valuation output'!I9</f>
        <v>2566.7934322235305</v>
      </c>
      <c r="L22" s="361">
        <f>'Valuation output'!J9</f>
        <v>2636.8891298876333</v>
      </c>
      <c r="M22" s="361">
        <f>'Valuation output'!K9</f>
        <v>2705.6831678819358</v>
      </c>
      <c r="N22" s="361">
        <f>'Valuation output'!L9</f>
        <v>2755.7086026919724</v>
      </c>
      <c r="O22" s="361">
        <f>'Valuation output'!M9</f>
        <v>1855.2280323432205</v>
      </c>
      <c r="P22" s="435"/>
    </row>
    <row r="23" spans="1:16">
      <c r="A23" s="441" t="str">
        <f>'Valuation output'!A29</f>
        <v>Value of equity</v>
      </c>
      <c r="B23" s="368">
        <f>'Valuation output'!B29</f>
        <v>31015.530765318021</v>
      </c>
      <c r="N23" s="363">
        <f>'Valuation output'!B18</f>
        <v>43858.818731518222</v>
      </c>
      <c r="P23" s="435"/>
    </row>
    <row r="24" spans="1:16">
      <c r="A24" s="441" t="str">
        <f>'Valuation output'!A30</f>
        <v xml:space="preserve"> - Value of options</v>
      </c>
      <c r="B24" s="368">
        <f>'Valuation output'!B30</f>
        <v>0</v>
      </c>
      <c r="P24" s="435"/>
    </row>
    <row r="25" spans="1:16">
      <c r="A25" s="441" t="str">
        <f>'Valuation output'!A31</f>
        <v>Value of equity in common stock</v>
      </c>
      <c r="B25" s="368">
        <f>'Valuation output'!B31</f>
        <v>31015.530765318021</v>
      </c>
      <c r="D25" s="355" t="s">
        <v>533</v>
      </c>
      <c r="E25" s="359">
        <f>'Valuation output'!C12</f>
        <v>7.0550157406465405E-2</v>
      </c>
      <c r="F25" s="359">
        <f>'Valuation output'!D12</f>
        <v>7.0550157406465405E-2</v>
      </c>
      <c r="G25" s="359">
        <f>'Valuation output'!E12</f>
        <v>7.0550157406465405E-2</v>
      </c>
      <c r="H25" s="359">
        <f>'Valuation output'!F12</f>
        <v>7.0550157406465405E-2</v>
      </c>
      <c r="I25" s="359">
        <f>'Valuation output'!G12</f>
        <v>7.0550157406465405E-2</v>
      </c>
      <c r="J25" s="359">
        <f>'Valuation output'!H12</f>
        <v>7.4060125925172318E-2</v>
      </c>
      <c r="K25" s="359">
        <f>'Valuation output'!I12</f>
        <v>7.7570094443879231E-2</v>
      </c>
      <c r="L25" s="359">
        <f>'Valuation output'!J12</f>
        <v>8.1080062962586144E-2</v>
      </c>
      <c r="M25" s="359">
        <f>'Valuation output'!K12</f>
        <v>8.4590031481293057E-2</v>
      </c>
      <c r="N25" s="359">
        <f>'Valuation output'!L12</f>
        <v>8.809999999999997E-2</v>
      </c>
      <c r="O25" s="433"/>
      <c r="P25" s="435"/>
    </row>
    <row r="26" spans="1:16">
      <c r="A26" s="443" t="str">
        <f>'Valuation output'!A32</f>
        <v>Number of shares</v>
      </c>
      <c r="B26" s="369">
        <f>'Valuation output'!B32</f>
        <v>4315</v>
      </c>
      <c r="D26" s="354" t="s">
        <v>837</v>
      </c>
      <c r="E26" s="362">
        <f>'Valuation output'!C13</f>
        <v>0.9340991574113805</v>
      </c>
      <c r="F26" s="362">
        <f>'Valuation output'!D13</f>
        <v>0.872541235876651</v>
      </c>
      <c r="G26" s="362">
        <f>'Valuation output'!E13</f>
        <v>0.81504003323906427</v>
      </c>
      <c r="H26" s="362">
        <f>'Valuation output'!F13</f>
        <v>0.76132820830515346</v>
      </c>
      <c r="I26" s="362">
        <f>'Valuation output'!G13</f>
        <v>0.71115603789135984</v>
      </c>
      <c r="J26" s="362">
        <f>'Valuation output'!H13</f>
        <v>0.66211939231873573</v>
      </c>
      <c r="K26" s="362">
        <f>'Valuation output'!I13</f>
        <v>0.6144559836364496</v>
      </c>
      <c r="L26" s="362">
        <f>'Valuation output'!J13</f>
        <v>0.56837232013380923</v>
      </c>
      <c r="M26" s="362">
        <f>'Valuation output'!K13</f>
        <v>0.52404346678121994</v>
      </c>
      <c r="N26" s="362">
        <f>'Valuation output'!L13</f>
        <v>0.48161333221323399</v>
      </c>
      <c r="P26" s="435"/>
    </row>
    <row r="27" spans="1:16">
      <c r="A27" s="444" t="str">
        <f>'Valuation output'!A33</f>
        <v>Estimated value /share</v>
      </c>
      <c r="B27" s="372">
        <f>'Valuation output'!B33</f>
        <v>7.1878402700621136</v>
      </c>
      <c r="P27" s="435"/>
    </row>
    <row r="28" spans="1:16">
      <c r="A28" s="445"/>
      <c r="B28" s="375"/>
      <c r="D28" s="355" t="s">
        <v>531</v>
      </c>
      <c r="E28" s="371">
        <f>'Valuation output'!C38</f>
        <v>1.7085376710318929</v>
      </c>
      <c r="F28" s="371">
        <f>'Valuation output'!D38</f>
        <v>1.7085376710318929</v>
      </c>
      <c r="G28" s="371">
        <f>'Valuation output'!E38</f>
        <v>1.7085376710318929</v>
      </c>
      <c r="H28" s="371">
        <f>'Valuation output'!F38</f>
        <v>1.7085376710318929</v>
      </c>
      <c r="I28" s="371">
        <f>'Valuation output'!G38</f>
        <v>1.7085376710318929</v>
      </c>
      <c r="J28" s="371">
        <f>'Valuation output'!H38</f>
        <v>1.7085376710318929</v>
      </c>
      <c r="K28" s="371">
        <f>'Valuation output'!I38</f>
        <v>1.7085376710318929</v>
      </c>
      <c r="L28" s="371">
        <f>'Valuation output'!J38</f>
        <v>1.7085376710318929</v>
      </c>
      <c r="M28" s="371">
        <f>'Valuation output'!K38</f>
        <v>1.7085376710318929</v>
      </c>
      <c r="N28" s="371">
        <f>'Valuation output'!L38</f>
        <v>1.7085376710318929</v>
      </c>
      <c r="P28" s="435"/>
    </row>
    <row r="29" spans="1:16">
      <c r="A29" s="441" t="s">
        <v>846</v>
      </c>
      <c r="B29" s="373">
        <f>'Stories to Numbers'!G39</f>
        <v>72.28</v>
      </c>
      <c r="D29" s="354" t="s">
        <v>844</v>
      </c>
      <c r="E29" s="356">
        <f>'Valuation output'!C40</f>
        <v>7.2187500000000002E-2</v>
      </c>
      <c r="F29" s="356">
        <f>'Valuation output'!D40</f>
        <v>7.4441418298778303E-2</v>
      </c>
      <c r="G29" s="356">
        <f>'Valuation output'!E40</f>
        <v>7.6722872328050959E-2</v>
      </c>
      <c r="H29" s="356">
        <f>'Valuation output'!F40</f>
        <v>7.9029606798004734E-2</v>
      </c>
      <c r="I29" s="356">
        <f>'Valuation output'!G40</f>
        <v>8.1359255400100208E-2</v>
      </c>
      <c r="J29" s="356">
        <f>'Valuation output'!H40</f>
        <v>8.2149364331257801E-2</v>
      </c>
      <c r="K29" s="356">
        <f>'Valuation output'!I40</f>
        <v>8.2834558070987274E-2</v>
      </c>
      <c r="L29" s="356">
        <f>'Valuation output'!J40</f>
        <v>8.3412978839228977E-2</v>
      </c>
      <c r="M29" s="356">
        <f>'Valuation output'!K40</f>
        <v>8.3883182196152525E-2</v>
      </c>
      <c r="N29" s="356">
        <f>'Valuation output'!L40</f>
        <v>8.4244127198829191E-2</v>
      </c>
      <c r="O29" s="356">
        <f>'Valuation output'!M40</f>
        <v>8.809999999999997E-2</v>
      </c>
      <c r="P29" s="435"/>
    </row>
    <row r="30" spans="1:16">
      <c r="A30" s="441" t="s">
        <v>847</v>
      </c>
      <c r="B30" s="374">
        <f>B29/B27-1</f>
        <v>9.0558717617935311</v>
      </c>
      <c r="P30" s="435"/>
    </row>
    <row r="31" spans="1:16" ht="15" thickBot="1">
      <c r="A31" s="434"/>
      <c r="P31" s="435"/>
    </row>
    <row r="32" spans="1:16">
      <c r="A32" s="434"/>
      <c r="D32" s="585" t="s">
        <v>848</v>
      </c>
      <c r="E32" s="586"/>
      <c r="G32" s="585" t="s">
        <v>849</v>
      </c>
      <c r="H32" s="587"/>
      <c r="I32" s="586"/>
      <c r="P32" s="435"/>
    </row>
    <row r="33" spans="1:16" ht="14" customHeight="1">
      <c r="A33" s="434"/>
      <c r="D33" s="588" t="str">
        <f>'Stories to Numbers'!G14</f>
        <v>Cost of capital close to median company</v>
      </c>
      <c r="E33" s="588"/>
      <c r="G33" s="588" t="str">
        <f>'Stories to Numbers'!G13</f>
        <v>Strong competitive edges</v>
      </c>
      <c r="H33" s="588"/>
      <c r="I33" s="588"/>
      <c r="P33" s="435"/>
    </row>
    <row r="34" spans="1:16">
      <c r="A34" s="434"/>
      <c r="D34" s="588"/>
      <c r="E34" s="588"/>
      <c r="G34" s="588"/>
      <c r="H34" s="588"/>
      <c r="I34" s="588"/>
      <c r="P34" s="435"/>
    </row>
    <row r="35" spans="1:16">
      <c r="A35" s="434"/>
      <c r="D35" s="588"/>
      <c r="E35" s="588"/>
      <c r="G35" s="588"/>
      <c r="H35" s="588"/>
      <c r="I35" s="588"/>
      <c r="P35" s="435"/>
    </row>
    <row r="36" spans="1:16">
      <c r="A36" s="434"/>
      <c r="D36" s="588"/>
      <c r="E36" s="588"/>
      <c r="G36" s="588"/>
      <c r="H36" s="588"/>
      <c r="I36" s="588"/>
      <c r="P36" s="435"/>
    </row>
    <row r="37" spans="1:16">
      <c r="A37" s="434"/>
      <c r="D37" s="588"/>
      <c r="E37" s="588"/>
      <c r="G37" s="588"/>
      <c r="H37" s="588"/>
      <c r="I37" s="588"/>
      <c r="P37" s="435"/>
    </row>
    <row r="38" spans="1:16" ht="15" thickBot="1">
      <c r="A38" s="446"/>
      <c r="B38" s="447"/>
      <c r="C38" s="447"/>
      <c r="D38" s="589"/>
      <c r="E38" s="589"/>
      <c r="F38" s="447"/>
      <c r="G38" s="589"/>
      <c r="H38" s="589"/>
      <c r="I38" s="589"/>
      <c r="J38" s="447"/>
      <c r="K38" s="447"/>
      <c r="L38" s="447"/>
      <c r="M38" s="447"/>
      <c r="N38" s="447"/>
      <c r="O38" s="447"/>
      <c r="P38" s="448"/>
    </row>
  </sheetData>
  <mergeCells count="14">
    <mergeCell ref="O3:P3"/>
    <mergeCell ref="E6:F12"/>
    <mergeCell ref="H6:I12"/>
    <mergeCell ref="K6:L12"/>
    <mergeCell ref="A3:N3"/>
    <mergeCell ref="O6:P6"/>
    <mergeCell ref="E5:F5"/>
    <mergeCell ref="H5:I5"/>
    <mergeCell ref="K5:L5"/>
    <mergeCell ref="D32:E32"/>
    <mergeCell ref="G32:I32"/>
    <mergeCell ref="D33:E38"/>
    <mergeCell ref="G33:I38"/>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2"/>
  <sheetViews>
    <sheetView topLeftCell="A35" zoomScale="125" zoomScaleNormal="125" workbookViewId="0">
      <selection activeCell="A25" sqref="A25"/>
    </sheetView>
  </sheetViews>
  <sheetFormatPr baseColWidth="10" defaultRowHeight="16"/>
  <cols>
    <col min="1" max="1" width="61.6640625" style="4" customWidth="1"/>
    <col min="2" max="2" width="17.6640625" style="244" customWidth="1"/>
    <col min="3" max="3" width="21" style="244" customWidth="1"/>
    <col min="4" max="4" width="20.5" style="244" customWidth="1"/>
    <col min="5" max="5" width="17.6640625" style="244" customWidth="1"/>
    <col min="6" max="6" width="11.1640625" style="4" customWidth="1"/>
    <col min="7" max="7" width="72" style="4" customWidth="1"/>
    <col min="8" max="16384" width="10.83203125" style="4"/>
  </cols>
  <sheetData>
    <row r="1" spans="1:7">
      <c r="A1" s="248" t="s">
        <v>768</v>
      </c>
      <c r="B1" s="249"/>
      <c r="C1" s="250"/>
      <c r="D1" s="608" t="s">
        <v>766</v>
      </c>
      <c r="E1" s="609"/>
      <c r="G1" s="245" t="s">
        <v>772</v>
      </c>
    </row>
    <row r="2" spans="1:7" ht="34">
      <c r="A2" s="251"/>
      <c r="B2" s="252" t="s">
        <v>733</v>
      </c>
      <c r="C2" s="252" t="s">
        <v>764</v>
      </c>
      <c r="D2" s="252" t="s">
        <v>620</v>
      </c>
      <c r="E2" s="253" t="s">
        <v>618</v>
      </c>
      <c r="G2" s="260" t="s">
        <v>770</v>
      </c>
    </row>
    <row r="3" spans="1:7" ht="34">
      <c r="A3" s="449" t="s">
        <v>765</v>
      </c>
      <c r="B3" s="451">
        <f>'Input sheet'!J25</f>
        <v>7.1580217391304352E-2</v>
      </c>
      <c r="C3" s="451">
        <f>'Input sheet'!I25</f>
        <v>7.6324035895078524E-2</v>
      </c>
      <c r="D3" s="451">
        <f>'Valuation output'!C2</f>
        <v>0.05</v>
      </c>
      <c r="E3" s="451">
        <f>'Valuation output'!D2</f>
        <v>0.05</v>
      </c>
      <c r="G3" s="260" t="s">
        <v>771</v>
      </c>
    </row>
    <row r="4" spans="1:7" ht="17" thickBot="1"/>
    <row r="5" spans="1:7">
      <c r="A5" s="248" t="s">
        <v>769</v>
      </c>
      <c r="B5" s="250"/>
      <c r="C5" s="250"/>
      <c r="D5" s="250"/>
      <c r="E5" s="254"/>
    </row>
    <row r="6" spans="1:7">
      <c r="A6" s="251"/>
      <c r="B6" s="244" t="s">
        <v>764</v>
      </c>
      <c r="C6" s="244" t="s">
        <v>620</v>
      </c>
      <c r="D6" s="244" t="s">
        <v>378</v>
      </c>
      <c r="E6" s="255" t="s">
        <v>767</v>
      </c>
      <c r="G6" s="246" t="s">
        <v>773</v>
      </c>
    </row>
    <row r="7" spans="1:7">
      <c r="A7" s="449" t="s">
        <v>5</v>
      </c>
      <c r="B7" s="450">
        <f>'Valuation output'!B3</f>
        <v>21765.4</v>
      </c>
      <c r="C7" s="450">
        <f>'Valuation output'!C3</f>
        <v>22853.670000000002</v>
      </c>
      <c r="D7" s="450">
        <f>'Valuation output'!G3</f>
        <v>27778.778720437513</v>
      </c>
      <c r="E7" s="450">
        <f>'Valuation output'!L3</f>
        <v>35030.02518482037</v>
      </c>
      <c r="G7" s="246" t="s">
        <v>774</v>
      </c>
    </row>
    <row r="8" spans="1:7">
      <c r="G8" s="246" t="s">
        <v>775</v>
      </c>
    </row>
    <row r="9" spans="1:7">
      <c r="G9" s="246" t="s">
        <v>776</v>
      </c>
    </row>
    <row r="10" spans="1:7" ht="17" thickBot="1"/>
    <row r="11" spans="1:7">
      <c r="A11" s="256" t="s">
        <v>780</v>
      </c>
      <c r="B11" s="257" t="s">
        <v>764</v>
      </c>
      <c r="C11" s="257" t="s">
        <v>620</v>
      </c>
      <c r="D11" s="257" t="s">
        <v>378</v>
      </c>
      <c r="E11" s="258" t="s">
        <v>767</v>
      </c>
      <c r="G11" s="246" t="s">
        <v>777</v>
      </c>
    </row>
    <row r="12" spans="1:7" ht="34">
      <c r="A12" s="449" t="s">
        <v>504</v>
      </c>
      <c r="B12" s="451">
        <f>'Valuation output'!B4</f>
        <v>0.14063146094259696</v>
      </c>
      <c r="C12" s="451">
        <f>'Valuation output'!C4</f>
        <v>0.14063146094259696</v>
      </c>
      <c r="D12" s="451">
        <f>'Valuation output'!G4</f>
        <v>0.14063146094259696</v>
      </c>
      <c r="E12" s="451">
        <f>'Valuation output'!M4</f>
        <v>0.14063146094259696</v>
      </c>
      <c r="G12" s="260" t="s">
        <v>778</v>
      </c>
    </row>
    <row r="13" spans="1:7">
      <c r="G13" s="246" t="s">
        <v>779</v>
      </c>
    </row>
    <row r="14" spans="1:7" ht="17" thickBot="1"/>
    <row r="15" spans="1:7">
      <c r="A15" s="256" t="s">
        <v>797</v>
      </c>
      <c r="B15" s="250"/>
      <c r="C15" s="250"/>
      <c r="D15" s="250"/>
      <c r="E15" s="254"/>
    </row>
    <row r="16" spans="1:7">
      <c r="A16" s="251"/>
      <c r="B16" s="252" t="s">
        <v>764</v>
      </c>
      <c r="C16" s="252" t="s">
        <v>620</v>
      </c>
      <c r="D16" s="252" t="s">
        <v>378</v>
      </c>
      <c r="E16" s="253" t="s">
        <v>767</v>
      </c>
      <c r="G16" s="246" t="s">
        <v>781</v>
      </c>
    </row>
    <row r="17" spans="1:7">
      <c r="A17" s="449" t="s">
        <v>531</v>
      </c>
      <c r="B17" s="452">
        <f>'Input sheet'!I27</f>
        <v>0.59256536748450894</v>
      </c>
      <c r="C17" s="452">
        <f>'Valuation output'!C38</f>
        <v>1.7085376710318929</v>
      </c>
      <c r="D17" s="452">
        <f>'Valuation output'!G38</f>
        <v>1.7085376710318929</v>
      </c>
      <c r="E17" s="452">
        <f>'Valuation output'!L38</f>
        <v>1.7085376710318929</v>
      </c>
      <c r="G17" s="246" t="s">
        <v>782</v>
      </c>
    </row>
    <row r="18" spans="1:7">
      <c r="A18" s="251"/>
      <c r="E18" s="255"/>
      <c r="G18" s="246" t="s">
        <v>783</v>
      </c>
    </row>
    <row r="19" spans="1:7">
      <c r="A19" s="259" t="s">
        <v>789</v>
      </c>
      <c r="E19" s="255"/>
    </row>
    <row r="20" spans="1:7">
      <c r="A20" s="251"/>
      <c r="B20" s="247" t="s">
        <v>784</v>
      </c>
      <c r="C20" s="247" t="s">
        <v>785</v>
      </c>
      <c r="E20" s="255"/>
    </row>
    <row r="21" spans="1:7">
      <c r="A21" s="251" t="s">
        <v>786</v>
      </c>
      <c r="B21" s="453">
        <f>'Valuation output'!C7*'Valuation output'!C13+'Valuation output'!D7*'Valuation output'!D13+'Valuation output'!E7*'Valuation output'!E13+'Valuation output'!F7*'Valuation output'!F13+'Valuation output'!G7*'Valuation output'!G13+'Valuation output'!H7*'Valuation output'!H13+'Valuation output'!I7*'Valuation output'!I13+'Valuation output'!J7*'Valuation output'!J13+'Valuation output'!K7*'Valuation output'!K13+'Valuation output'!L7*'Valuation output'!L13</f>
        <v>21877.646768580467</v>
      </c>
      <c r="C21" s="454">
        <f>B21/B21</f>
        <v>1</v>
      </c>
      <c r="E21" s="255"/>
      <c r="G21" s="246" t="s">
        <v>790</v>
      </c>
    </row>
    <row r="22" spans="1:7">
      <c r="A22" s="449" t="s">
        <v>787</v>
      </c>
      <c r="B22" s="457">
        <f>B21-B23</f>
        <v>5483.1078394851465</v>
      </c>
      <c r="C22" s="458">
        <f>B22/B21</f>
        <v>0.25062603384563736</v>
      </c>
      <c r="E22" s="255"/>
      <c r="G22" s="246" t="s">
        <v>796</v>
      </c>
    </row>
    <row r="23" spans="1:7">
      <c r="A23" s="251" t="s">
        <v>788</v>
      </c>
      <c r="B23" s="455">
        <f>'Valuation output'!B20</f>
        <v>16394.538929095321</v>
      </c>
      <c r="C23" s="456">
        <f>C21-C22</f>
        <v>0.74937396615436258</v>
      </c>
      <c r="E23" s="255"/>
    </row>
    <row r="24" spans="1:7">
      <c r="A24" s="251"/>
      <c r="E24" s="255"/>
    </row>
    <row r="25" spans="1:7">
      <c r="A25" s="259" t="s">
        <v>791</v>
      </c>
      <c r="E25" s="255"/>
    </row>
    <row r="26" spans="1:7">
      <c r="A26" s="251"/>
      <c r="B26" s="252" t="s">
        <v>792</v>
      </c>
      <c r="C26" s="252" t="s">
        <v>793</v>
      </c>
      <c r="D26" s="252" t="s">
        <v>794</v>
      </c>
      <c r="E26" s="253" t="s">
        <v>795</v>
      </c>
    </row>
    <row r="27" spans="1:7">
      <c r="A27" s="449" t="s">
        <v>524</v>
      </c>
      <c r="B27" s="451">
        <f>'Valuation output'!B40</f>
        <v>6.8749999999999992E-2</v>
      </c>
      <c r="C27" s="458">
        <f>('Valuation output'!L7-'Valuation output'!B7)/('Valuation output'!L39-'Valuation output'!B39)</f>
        <v>0.144994867671038</v>
      </c>
      <c r="D27" s="451">
        <f>'Valuation output'!L40</f>
        <v>8.4244127198829191E-2</v>
      </c>
      <c r="E27" s="451">
        <f>'Valuation output'!M40</f>
        <v>8.809999999999997E-2</v>
      </c>
    </row>
    <row r="28" spans="1:7" ht="17" thickBot="1"/>
    <row r="29" spans="1:7">
      <c r="A29" s="256" t="s">
        <v>798</v>
      </c>
      <c r="B29" s="250"/>
      <c r="C29" s="250"/>
      <c r="D29" s="250"/>
      <c r="E29" s="254"/>
    </row>
    <row r="30" spans="1:7">
      <c r="A30" s="251"/>
      <c r="B30" s="252" t="s">
        <v>733</v>
      </c>
      <c r="C30" s="252" t="s">
        <v>801</v>
      </c>
      <c r="D30" s="252" t="s">
        <v>802</v>
      </c>
      <c r="E30" s="253" t="s">
        <v>799</v>
      </c>
      <c r="G30" s="246" t="s">
        <v>808</v>
      </c>
    </row>
    <row r="31" spans="1:7">
      <c r="A31" s="449" t="s">
        <v>135</v>
      </c>
      <c r="B31" s="458">
        <f>'Input sheet'!J31</f>
        <v>5.7893819913489727E-2</v>
      </c>
      <c r="C31" s="458">
        <f>(1/'Valuation output'!L13)^(1/10)-1</f>
        <v>7.5796556760616474E-2</v>
      </c>
      <c r="D31" s="458">
        <f>'Valuation output'!C12</f>
        <v>7.0550157406465405E-2</v>
      </c>
      <c r="E31" s="458">
        <f>'Valuation output'!M12</f>
        <v>8.8099999999999998E-2</v>
      </c>
      <c r="G31" s="246" t="s">
        <v>809</v>
      </c>
    </row>
    <row r="32" spans="1:7">
      <c r="A32" s="251"/>
      <c r="E32" s="255"/>
      <c r="G32" s="246" t="s">
        <v>810</v>
      </c>
    </row>
    <row r="33" spans="1:6" ht="17" thickBot="1">
      <c r="A33" s="449" t="s">
        <v>800</v>
      </c>
      <c r="B33" s="451">
        <f>'Valuation output'!B22</f>
        <v>0</v>
      </c>
      <c r="C33" s="261"/>
      <c r="D33" s="261"/>
      <c r="E33" s="262"/>
    </row>
    <row r="34" spans="1:6" ht="17" thickBot="1"/>
    <row r="35" spans="1:6">
      <c r="A35" s="256" t="s">
        <v>803</v>
      </c>
      <c r="B35" s="250"/>
      <c r="C35" s="250"/>
      <c r="D35" s="250"/>
      <c r="E35" s="254"/>
    </row>
    <row r="36" spans="1:6" s="76" customFormat="1" ht="14" thickBot="1">
      <c r="A36" s="267" t="s">
        <v>22</v>
      </c>
      <c r="B36" s="263">
        <f>'Valuation output'!B33/'Valuation output'!B34</f>
        <v>9.9444386691506834E-2</v>
      </c>
      <c r="C36" s="268"/>
      <c r="D36" s="268"/>
      <c r="E36" s="269"/>
    </row>
    <row r="37" spans="1:6" s="76" customFormat="1" ht="17" thickBot="1">
      <c r="A37" s="78"/>
      <c r="B37" s="606" t="str">
        <f>IF(B36="NA","Value is negative. See below",IF(B36&gt;2,"Value seems high. See below",IF(B36&lt;0.5,"Value seems low. See below"," ")))</f>
        <v>Value seems low. See below</v>
      </c>
      <c r="C37" s="607"/>
      <c r="D37" s="268"/>
      <c r="E37" s="269"/>
      <c r="F37" s="6"/>
    </row>
    <row r="38" spans="1:6" s="6" customFormat="1" ht="42">
      <c r="A38" s="274" t="s">
        <v>4</v>
      </c>
      <c r="B38" s="459" t="s">
        <v>0</v>
      </c>
      <c r="C38" s="460" t="s">
        <v>1</v>
      </c>
      <c r="D38" s="270"/>
      <c r="E38" s="271"/>
    </row>
    <row r="39" spans="1:6" s="6" customFormat="1" ht="35" customHeight="1">
      <c r="A39" s="264" t="s">
        <v>804</v>
      </c>
      <c r="B39" s="461" t="s">
        <v>2</v>
      </c>
      <c r="C39" s="461" t="s">
        <v>3</v>
      </c>
      <c r="D39" s="270"/>
      <c r="E39" s="271"/>
    </row>
    <row r="40" spans="1:6" s="6" customFormat="1" ht="42">
      <c r="A40" s="264" t="s">
        <v>805</v>
      </c>
      <c r="B40" s="462" t="s">
        <v>139</v>
      </c>
      <c r="C40" s="461" t="s">
        <v>140</v>
      </c>
      <c r="D40" s="270" t="s">
        <v>143</v>
      </c>
      <c r="E40" s="271"/>
    </row>
    <row r="41" spans="1:6" s="6" customFormat="1" ht="34" customHeight="1">
      <c r="A41" s="265" t="s">
        <v>806</v>
      </c>
      <c r="B41" s="461" t="s">
        <v>138</v>
      </c>
      <c r="C41" s="461" t="s">
        <v>137</v>
      </c>
      <c r="D41" s="270" t="s">
        <v>143</v>
      </c>
      <c r="E41" s="271"/>
    </row>
    <row r="42" spans="1:6" s="6" customFormat="1" ht="48" customHeight="1" thickBot="1">
      <c r="A42" s="266" t="s">
        <v>807</v>
      </c>
      <c r="B42" s="463" t="s">
        <v>141</v>
      </c>
      <c r="C42" s="461" t="s">
        <v>142</v>
      </c>
      <c r="D42" s="272" t="s">
        <v>144</v>
      </c>
      <c r="E42" s="273"/>
      <c r="F42" s="4"/>
    </row>
  </sheetData>
  <mergeCells count="2">
    <mergeCell ref="B37:C37"/>
    <mergeCell ref="D1:E1"/>
  </mergeCells>
  <phoneticPr fontId="6"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9"/>
  <sheetViews>
    <sheetView workbookViewId="0">
      <selection activeCell="D33" sqref="D33"/>
    </sheetView>
  </sheetViews>
  <sheetFormatPr baseColWidth="10" defaultRowHeight="16"/>
  <cols>
    <col min="1" max="1" width="44.33203125" style="188" customWidth="1"/>
    <col min="2" max="2" width="28.1640625" style="188" customWidth="1"/>
    <col min="3" max="3" width="30.6640625" style="188" customWidth="1"/>
    <col min="4" max="4" width="24.83203125" style="188" customWidth="1"/>
    <col min="5" max="7" width="44.33203125" style="130" customWidth="1"/>
  </cols>
  <sheetData>
    <row r="1" spans="1:7" ht="19" customHeight="1">
      <c r="A1" s="610" t="s">
        <v>811</v>
      </c>
      <c r="B1" s="611"/>
      <c r="C1" s="611"/>
      <c r="D1" s="611"/>
    </row>
    <row r="2" spans="1:7" ht="38" customHeight="1">
      <c r="A2" s="610"/>
      <c r="B2" s="611"/>
      <c r="C2" s="611"/>
      <c r="D2" s="611"/>
    </row>
    <row r="3" spans="1:7" s="294" customFormat="1" ht="18">
      <c r="A3" s="236" t="s">
        <v>52</v>
      </c>
      <c r="B3" s="236"/>
      <c r="C3" s="236"/>
      <c r="D3" s="236"/>
      <c r="E3" s="236"/>
      <c r="F3" s="236"/>
      <c r="G3" s="236"/>
    </row>
    <row r="4" spans="1:7" s="295" customFormat="1">
      <c r="A4" s="188" t="s">
        <v>53</v>
      </c>
      <c r="B4" s="275">
        <f>'Input sheet'!B22</f>
        <v>72.28</v>
      </c>
      <c r="C4" s="188"/>
      <c r="D4" s="188"/>
      <c r="E4" s="188"/>
    </row>
    <row r="5" spans="1:7" s="295" customFormat="1">
      <c r="A5" s="188" t="s">
        <v>54</v>
      </c>
      <c r="B5" s="276">
        <f>'Input sheet'!B39</f>
        <v>1.29</v>
      </c>
      <c r="C5" s="188"/>
      <c r="D5" s="188"/>
      <c r="E5" s="188"/>
    </row>
    <row r="6" spans="1:7" s="295" customFormat="1">
      <c r="A6" s="188" t="s">
        <v>55</v>
      </c>
      <c r="B6" s="277">
        <f>'Input sheet'!B40</f>
        <v>7</v>
      </c>
      <c r="C6" s="188"/>
      <c r="D6" s="188"/>
      <c r="E6" s="188"/>
    </row>
    <row r="7" spans="1:7" s="295" customFormat="1">
      <c r="A7" s="188" t="s">
        <v>56</v>
      </c>
      <c r="B7" s="278">
        <f>'Input sheet'!B41</f>
        <v>0.45</v>
      </c>
      <c r="C7" s="188" t="s">
        <v>57</v>
      </c>
      <c r="D7" s="188"/>
      <c r="E7" s="188"/>
    </row>
    <row r="8" spans="1:7" s="295" customFormat="1">
      <c r="A8" s="188" t="s">
        <v>58</v>
      </c>
      <c r="B8" s="279">
        <v>0</v>
      </c>
      <c r="C8" s="188"/>
      <c r="D8" s="188"/>
      <c r="E8" s="188"/>
    </row>
    <row r="9" spans="1:7" s="295" customFormat="1">
      <c r="A9" s="188" t="s">
        <v>59</v>
      </c>
      <c r="B9" s="279">
        <f>'Input sheet'!B34</f>
        <v>4.58E-2</v>
      </c>
      <c r="C9" s="188"/>
      <c r="D9" s="188"/>
      <c r="E9" s="188"/>
    </row>
    <row r="10" spans="1:7" s="295" customFormat="1">
      <c r="A10" s="188" t="s">
        <v>60</v>
      </c>
      <c r="B10" s="277">
        <f>'Input sheet'!B38</f>
        <v>7.72</v>
      </c>
      <c r="C10" s="188"/>
      <c r="D10" s="188"/>
      <c r="E10" s="188"/>
    </row>
    <row r="11" spans="1:7" s="295" customFormat="1">
      <c r="A11" s="188" t="s">
        <v>61</v>
      </c>
      <c r="B11" s="280">
        <f>'Input sheet'!B21</f>
        <v>4315</v>
      </c>
      <c r="C11" s="188"/>
      <c r="D11" s="188"/>
      <c r="E11" s="188"/>
    </row>
    <row r="12" spans="1:7" s="295" customFormat="1">
      <c r="A12" s="188"/>
      <c r="B12" s="188"/>
      <c r="C12" s="188"/>
      <c r="D12" s="188"/>
      <c r="E12" s="188"/>
      <c r="F12" s="188"/>
      <c r="G12" s="188"/>
    </row>
    <row r="13" spans="1:7" s="296" customFormat="1">
      <c r="A13" s="281" t="s">
        <v>62</v>
      </c>
      <c r="B13" s="282"/>
      <c r="C13" s="282"/>
      <c r="D13" s="282"/>
      <c r="E13" s="282"/>
      <c r="F13" s="282"/>
      <c r="G13" s="282"/>
    </row>
    <row r="14" spans="1:7" s="297" customFormat="1">
      <c r="A14" s="236" t="s">
        <v>736</v>
      </c>
      <c r="B14" s="188"/>
      <c r="C14" s="188"/>
      <c r="D14" s="188"/>
      <c r="E14" s="188"/>
      <c r="F14" s="188"/>
      <c r="G14" s="188"/>
    </row>
    <row r="15" spans="1:7" s="297" customFormat="1">
      <c r="A15" s="283" t="s">
        <v>63</v>
      </c>
      <c r="B15" s="300">
        <f>B4</f>
        <v>72.28</v>
      </c>
      <c r="C15" s="283" t="s">
        <v>64</v>
      </c>
      <c r="D15" s="286">
        <f>B10</f>
        <v>7.72</v>
      </c>
      <c r="E15" s="298"/>
    </row>
    <row r="16" spans="1:7" s="297" customFormat="1">
      <c r="A16" s="283" t="s">
        <v>65</v>
      </c>
      <c r="B16" s="293">
        <f>B5</f>
        <v>1.29</v>
      </c>
      <c r="C16" s="283" t="s">
        <v>66</v>
      </c>
      <c r="D16" s="287">
        <f>B11</f>
        <v>4315</v>
      </c>
      <c r="E16" s="298"/>
    </row>
    <row r="17" spans="1:7" s="297" customFormat="1">
      <c r="A17" s="283" t="s">
        <v>67</v>
      </c>
      <c r="B17" s="300">
        <f ca="1">(B15*D16+B28*D15)/(D16+D15)</f>
        <v>72.278325565419181</v>
      </c>
      <c r="C17" s="283" t="s">
        <v>68</v>
      </c>
      <c r="D17" s="288">
        <f>B9</f>
        <v>4.58E-2</v>
      </c>
      <c r="E17" s="188"/>
    </row>
    <row r="18" spans="1:7" s="297" customFormat="1">
      <c r="A18" s="283" t="s">
        <v>69</v>
      </c>
      <c r="B18" s="293">
        <f>B16</f>
        <v>1.29</v>
      </c>
      <c r="C18" s="283" t="s">
        <v>70</v>
      </c>
      <c r="D18" s="289">
        <f>B7^2</f>
        <v>0.20250000000000001</v>
      </c>
      <c r="E18" s="188"/>
    </row>
    <row r="19" spans="1:7" s="297" customFormat="1">
      <c r="A19" s="283" t="s">
        <v>71</v>
      </c>
      <c r="B19" s="293">
        <f>B6</f>
        <v>7</v>
      </c>
      <c r="C19" s="283" t="s">
        <v>72</v>
      </c>
      <c r="D19" s="288">
        <f>B8</f>
        <v>0</v>
      </c>
      <c r="E19" s="188"/>
    </row>
    <row r="20" spans="1:7" s="297" customFormat="1">
      <c r="A20" s="188"/>
      <c r="B20" s="188"/>
      <c r="C20" s="283" t="s">
        <v>73</v>
      </c>
      <c r="D20" s="290">
        <f>D17-D19</f>
        <v>4.58E-2</v>
      </c>
      <c r="E20" s="188"/>
    </row>
    <row r="21" spans="1:7" s="297" customFormat="1">
      <c r="A21" s="188"/>
      <c r="B21" s="188"/>
      <c r="C21" s="188"/>
      <c r="D21" s="188"/>
      <c r="E21" s="188"/>
      <c r="F21" s="188"/>
      <c r="G21" s="188"/>
    </row>
    <row r="22" spans="1:7" s="297" customFormat="1">
      <c r="A22" s="188" t="s">
        <v>74</v>
      </c>
      <c r="B22" s="292">
        <f ca="1">(LN(B17/B18)+(D20+(D18/2))*B19)/(((D18)^(0.5))*(B19^0.5))</f>
        <v>4.2459958433020644</v>
      </c>
      <c r="C22" s="188"/>
      <c r="D22" s="188"/>
      <c r="E22" s="188"/>
      <c r="F22" s="188"/>
      <c r="G22" s="188"/>
    </row>
    <row r="23" spans="1:7" s="297" customFormat="1">
      <c r="A23" s="188" t="s">
        <v>75</v>
      </c>
      <c r="B23" s="292">
        <f ca="1">NORMSDIST(B22)</f>
        <v>0.99998911876677488</v>
      </c>
      <c r="C23" s="188"/>
      <c r="D23" s="188"/>
      <c r="E23" s="188"/>
      <c r="F23" s="188"/>
      <c r="G23" s="188"/>
    </row>
    <row r="24" spans="1:7" s="297" customFormat="1">
      <c r="A24" s="188"/>
      <c r="B24" s="291"/>
      <c r="C24" s="188"/>
      <c r="D24" s="188"/>
      <c r="E24" s="188"/>
      <c r="F24" s="188"/>
      <c r="G24" s="188"/>
    </row>
    <row r="25" spans="1:7" s="297" customFormat="1" ht="15.75" customHeight="1">
      <c r="A25" s="188" t="s">
        <v>76</v>
      </c>
      <c r="B25" s="292">
        <f ca="1">B22-((D18^0.5)*(B19^(0.5)))</f>
        <v>3.0554077533229984</v>
      </c>
      <c r="C25" s="188"/>
      <c r="D25" s="188"/>
      <c r="E25" s="188"/>
      <c r="F25" s="188"/>
      <c r="G25" s="188"/>
    </row>
    <row r="26" spans="1:7" s="297" customFormat="1">
      <c r="A26" s="188" t="s">
        <v>77</v>
      </c>
      <c r="B26" s="292">
        <f ca="1">NORMSDIST(B25)</f>
        <v>0.99887622635055606</v>
      </c>
      <c r="C26" s="188"/>
      <c r="D26" s="188"/>
      <c r="E26" s="188"/>
      <c r="F26" s="188"/>
      <c r="G26" s="188"/>
    </row>
    <row r="27" spans="1:7" s="295" customFormat="1" ht="17" thickBot="1">
      <c r="A27" s="188"/>
      <c r="B27" s="188"/>
      <c r="C27" s="188"/>
      <c r="D27" s="188"/>
      <c r="E27" s="188"/>
      <c r="F27" s="188"/>
      <c r="G27" s="188"/>
    </row>
    <row r="28" spans="1:7" s="297" customFormat="1" ht="17" thickBot="1">
      <c r="A28" s="188" t="s">
        <v>78</v>
      </c>
      <c r="B28" s="284">
        <f ca="1">((EXP((0-D19)*B19))*B17*B23-B18*(EXP((0-D17)*B19))*B26)</f>
        <v>71.342420744665475</v>
      </c>
      <c r="C28" s="188"/>
      <c r="D28" s="188"/>
      <c r="E28" s="188"/>
      <c r="F28" s="299"/>
    </row>
    <row r="29" spans="1:7" s="297" customFormat="1" ht="17" thickBot="1">
      <c r="A29" s="188" t="s">
        <v>79</v>
      </c>
      <c r="B29" s="285">
        <f ca="1">B28*B10</f>
        <v>550.76348814881749</v>
      </c>
      <c r="C29" s="188"/>
      <c r="D29" s="188"/>
      <c r="E29" s="188"/>
    </row>
  </sheetData>
  <mergeCells count="1">
    <mergeCell ref="A1:D2"/>
  </mergeCells>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60"/>
  <sheetViews>
    <sheetView zoomScale="86" zoomScaleNormal="100" workbookViewId="0">
      <selection activeCell="G41" sqref="G41:H56"/>
    </sheetView>
  </sheetViews>
  <sheetFormatPr baseColWidth="10" defaultRowHeight="16"/>
  <cols>
    <col min="1" max="4" width="11.1640625" style="188" bestFit="1" customWidth="1"/>
    <col min="5" max="5" width="10.83203125" style="188"/>
    <col min="6" max="6" width="12.83203125" style="188" bestFit="1" customWidth="1"/>
    <col min="7" max="7" width="10.83203125" style="188"/>
    <col min="8" max="8" width="11.1640625" style="188" bestFit="1" customWidth="1"/>
    <col min="9" max="10" width="10.83203125" style="188"/>
    <col min="11" max="20" width="11.1640625" style="188" bestFit="1" customWidth="1"/>
  </cols>
  <sheetData>
    <row r="1" spans="1:20">
      <c r="A1" s="615" t="s">
        <v>763</v>
      </c>
      <c r="B1" s="616"/>
      <c r="C1" s="616"/>
      <c r="D1" s="616"/>
      <c r="E1" s="616"/>
      <c r="F1" s="616"/>
      <c r="G1" s="616"/>
      <c r="H1" s="616"/>
      <c r="I1" s="616"/>
      <c r="J1" s="616"/>
      <c r="K1" s="616"/>
      <c r="L1" s="617"/>
    </row>
    <row r="2" spans="1:20" ht="21" customHeight="1" thickBot="1">
      <c r="A2" s="618"/>
      <c r="B2" s="619"/>
      <c r="C2" s="619"/>
      <c r="D2" s="619"/>
      <c r="E2" s="619"/>
      <c r="F2" s="619"/>
      <c r="G2" s="619"/>
      <c r="H2" s="619"/>
      <c r="I2" s="619"/>
      <c r="J2" s="619"/>
      <c r="K2" s="619"/>
      <c r="L2" s="620"/>
    </row>
    <row r="4" spans="1:20">
      <c r="A4" s="236" t="s">
        <v>195</v>
      </c>
    </row>
    <row r="5" spans="1:20">
      <c r="A5" s="236" t="s">
        <v>196</v>
      </c>
    </row>
    <row r="6" spans="1:20" s="73" customFormat="1" ht="17" thickBot="1">
      <c r="A6" s="281" t="s">
        <v>197</v>
      </c>
      <c r="B6" s="282"/>
      <c r="C6" s="282"/>
      <c r="D6" s="282"/>
      <c r="E6" s="282"/>
      <c r="F6" s="282"/>
      <c r="G6" s="282"/>
      <c r="H6" s="282"/>
      <c r="I6" s="282"/>
      <c r="J6" s="282"/>
      <c r="K6" s="282"/>
      <c r="L6" s="282"/>
      <c r="M6" s="282"/>
      <c r="N6" s="282"/>
      <c r="O6" s="282"/>
      <c r="P6" s="282"/>
      <c r="Q6" s="282"/>
      <c r="R6" s="282"/>
      <c r="S6" s="282"/>
      <c r="T6" s="282"/>
    </row>
    <row r="7" spans="1:20" s="74" customFormat="1" ht="17" thickBot="1">
      <c r="A7" s="188" t="s">
        <v>198</v>
      </c>
      <c r="B7" s="188"/>
      <c r="C7" s="383">
        <f>'Cost of capital worksheet'!B36</f>
        <v>2</v>
      </c>
      <c r="D7" s="188"/>
      <c r="E7" s="188"/>
      <c r="F7" s="188"/>
      <c r="G7" s="188"/>
      <c r="H7" s="188"/>
      <c r="I7" s="188"/>
      <c r="J7" s="188"/>
      <c r="K7" s="188"/>
      <c r="L7" s="188"/>
      <c r="M7" s="188"/>
      <c r="N7" s="188"/>
      <c r="O7" s="188"/>
      <c r="P7" s="188"/>
      <c r="Q7" s="188"/>
      <c r="R7" s="188"/>
      <c r="S7" s="188"/>
      <c r="T7" s="188"/>
    </row>
    <row r="8" spans="1:20" s="74" customFormat="1" ht="17" thickBot="1">
      <c r="A8" s="188" t="s">
        <v>199</v>
      </c>
      <c r="B8" s="188"/>
      <c r="C8" s="188"/>
      <c r="D8" s="188"/>
      <c r="E8" s="188"/>
      <c r="F8" s="306">
        <f>IF('Input sheet'!B17="Yes",'Input sheet'!B12+'Operating lease converter'!F32,'Input sheet'!B12)</f>
        <v>3060.9</v>
      </c>
      <c r="G8" s="188" t="s">
        <v>200</v>
      </c>
      <c r="H8" s="188"/>
      <c r="I8" s="188"/>
      <c r="J8" s="188"/>
      <c r="K8" s="188"/>
      <c r="L8" s="188"/>
      <c r="M8" s="188"/>
      <c r="N8" s="188"/>
      <c r="O8" s="188"/>
      <c r="P8" s="188"/>
      <c r="Q8" s="188"/>
      <c r="R8" s="188"/>
      <c r="S8" s="188"/>
      <c r="T8" s="188"/>
    </row>
    <row r="9" spans="1:20" s="74" customFormat="1" ht="17" thickBot="1">
      <c r="A9" s="188" t="s">
        <v>201</v>
      </c>
      <c r="B9" s="188"/>
      <c r="C9" s="188"/>
      <c r="D9" s="188"/>
      <c r="E9" s="188"/>
      <c r="F9" s="307">
        <f>IF('Input sheet'!B17="Yes",'Cost of capital worksheet'!B31+'Operating lease converter'!C28*'Operating lease converter'!C15,'Cost of capital worksheet'!B31)</f>
        <v>493.4</v>
      </c>
      <c r="G9" s="188" t="s">
        <v>202</v>
      </c>
      <c r="H9" s="188"/>
      <c r="I9" s="188"/>
      <c r="J9" s="188"/>
      <c r="K9" s="188"/>
      <c r="L9" s="188"/>
      <c r="M9" s="188"/>
      <c r="N9" s="188"/>
      <c r="O9" s="188"/>
      <c r="P9" s="188"/>
      <c r="Q9" s="188"/>
      <c r="R9" s="188"/>
      <c r="S9" s="188"/>
      <c r="T9" s="188"/>
    </row>
    <row r="10" spans="1:20" s="74" customFormat="1" ht="17" thickBot="1">
      <c r="A10" s="188" t="s">
        <v>217</v>
      </c>
      <c r="B10" s="188"/>
      <c r="C10" s="188"/>
      <c r="D10" s="188"/>
      <c r="E10" s="188"/>
      <c r="F10" s="308">
        <f>'Input sheet'!B34</f>
        <v>4.58E-2</v>
      </c>
      <c r="G10" s="188"/>
      <c r="H10" s="188"/>
      <c r="I10" s="188"/>
      <c r="J10" s="188"/>
      <c r="K10" s="188"/>
      <c r="L10" s="188"/>
      <c r="M10" s="188"/>
      <c r="N10" s="188"/>
      <c r="O10" s="188"/>
      <c r="P10" s="188"/>
      <c r="Q10" s="188"/>
      <c r="R10" s="188"/>
      <c r="S10" s="188"/>
      <c r="T10" s="188"/>
    </row>
    <row r="11" spans="1:20" s="74" customFormat="1" ht="17" thickBot="1">
      <c r="A11" s="236" t="s">
        <v>112</v>
      </c>
      <c r="B11" s="188"/>
      <c r="C11" s="188"/>
      <c r="D11" s="188"/>
      <c r="E11" s="188"/>
      <c r="F11" s="188"/>
      <c r="G11" s="188"/>
      <c r="H11" s="188"/>
      <c r="I11" s="188"/>
      <c r="J11" s="188"/>
      <c r="K11" s="188"/>
      <c r="L11" s="188"/>
      <c r="M11" s="188"/>
      <c r="N11" s="188"/>
      <c r="O11" s="188"/>
      <c r="P11" s="188"/>
      <c r="Q11" s="188"/>
      <c r="R11" s="188"/>
      <c r="S11" s="188"/>
      <c r="T11" s="188"/>
    </row>
    <row r="12" spans="1:20" s="74" customFormat="1" ht="17" thickBot="1">
      <c r="A12" s="188" t="s">
        <v>203</v>
      </c>
      <c r="B12" s="188"/>
      <c r="C12" s="188"/>
      <c r="D12" s="309">
        <f>IF(F9=0,1000000,IF(F8&lt;0,-100000,F8/F9))</f>
        <v>6.2036886907174713</v>
      </c>
      <c r="E12" s="188"/>
      <c r="F12" s="188"/>
      <c r="G12" s="188"/>
      <c r="H12" s="188"/>
      <c r="I12" s="188"/>
      <c r="J12" s="188"/>
      <c r="K12" s="188"/>
      <c r="L12" s="188"/>
      <c r="M12" s="188"/>
      <c r="N12" s="188"/>
      <c r="O12" s="188"/>
      <c r="P12" s="188"/>
      <c r="Q12" s="188"/>
      <c r="R12" s="188"/>
      <c r="S12" s="188"/>
      <c r="T12" s="188"/>
    </row>
    <row r="13" spans="1:20" s="74" customFormat="1" ht="17" thickBot="1">
      <c r="A13" s="188" t="s">
        <v>204</v>
      </c>
      <c r="B13" s="188"/>
      <c r="C13" s="188"/>
      <c r="D13" s="310" t="str">
        <f>IF(C7=1,VLOOKUP(D12,A22:D36,3),(IF(C7=2,VLOOKUP(D12,A41:D55,3),VLOOKUP(D12,F22:I36,3))))</f>
        <v>A2/A</v>
      </c>
      <c r="E13" s="188"/>
      <c r="F13" s="282" t="s">
        <v>205</v>
      </c>
      <c r="G13" s="188"/>
      <c r="H13" s="188"/>
      <c r="I13" s="188"/>
      <c r="J13" s="188"/>
      <c r="K13" s="188"/>
      <c r="L13" s="188"/>
      <c r="M13" s="188"/>
      <c r="N13" s="188"/>
      <c r="O13" s="188"/>
      <c r="P13" s="188"/>
      <c r="Q13" s="188"/>
      <c r="R13" s="188"/>
      <c r="S13" s="188"/>
      <c r="T13" s="188"/>
    </row>
    <row r="14" spans="1:20" s="74" customFormat="1" ht="17" thickBot="1">
      <c r="A14" s="188" t="s">
        <v>443</v>
      </c>
      <c r="B14" s="188"/>
      <c r="C14" s="188"/>
      <c r="D14" s="311">
        <f>IF(C7=1,VLOOKUP(D12,A22:D36,4),(IF(C7=2,VLOOKUP(D12,A41:D55,4),VLOOKUP(D12,F22:I36,4))))</f>
        <v>7.7510000000000009E-3</v>
      </c>
      <c r="E14" s="188"/>
      <c r="F14" s="282" t="s">
        <v>206</v>
      </c>
      <c r="G14" s="188"/>
      <c r="H14" s="188"/>
      <c r="I14" s="188"/>
      <c r="J14" s="188"/>
      <c r="K14" s="188"/>
      <c r="L14" s="188"/>
      <c r="M14" s="188"/>
      <c r="N14" s="188"/>
      <c r="O14" s="188"/>
      <c r="P14" s="188"/>
      <c r="Q14" s="188"/>
      <c r="R14" s="188"/>
      <c r="S14" s="188"/>
      <c r="T14" s="188"/>
    </row>
    <row r="15" spans="1:20" s="74" customFormat="1" ht="17" thickBot="1">
      <c r="A15" s="188" t="s">
        <v>444</v>
      </c>
      <c r="B15" s="188"/>
      <c r="C15" s="188"/>
      <c r="D15" s="311">
        <f>VLOOKUP('Input sheet'!B7,'Country equity risk premiums'!A5:C196,3)</f>
        <v>5.1000000000000004E-3</v>
      </c>
      <c r="E15" s="188"/>
      <c r="F15" s="282"/>
      <c r="G15" s="188"/>
      <c r="H15" s="188"/>
      <c r="I15" s="188"/>
      <c r="J15" s="188"/>
      <c r="K15" s="188"/>
      <c r="L15" s="188"/>
      <c r="M15" s="188"/>
      <c r="N15" s="188"/>
      <c r="O15" s="188"/>
      <c r="P15" s="188"/>
      <c r="Q15" s="188"/>
      <c r="R15" s="188"/>
      <c r="S15" s="188"/>
      <c r="T15" s="188"/>
    </row>
    <row r="16" spans="1:20" s="6" customFormat="1" ht="17" thickBot="1">
      <c r="A16" s="188" t="s">
        <v>207</v>
      </c>
      <c r="B16" s="188"/>
      <c r="C16" s="188"/>
      <c r="D16" s="312">
        <f>F10+D14+D15</f>
        <v>5.8651000000000002E-2</v>
      </c>
      <c r="E16" s="188"/>
      <c r="F16" s="188"/>
      <c r="G16" s="188"/>
      <c r="H16" s="188"/>
      <c r="I16" s="188"/>
      <c r="J16" s="188"/>
      <c r="K16" s="188"/>
      <c r="L16" s="188"/>
      <c r="M16" s="188"/>
      <c r="N16" s="188"/>
      <c r="O16" s="188"/>
      <c r="P16" s="188"/>
      <c r="Q16" s="188"/>
      <c r="R16" s="188"/>
      <c r="S16" s="188"/>
      <c r="T16" s="188"/>
    </row>
    <row r="17" spans="1:20" s="6" customFormat="1">
      <c r="A17" s="188"/>
      <c r="B17" s="188"/>
      <c r="C17" s="188"/>
      <c r="D17" s="313"/>
      <c r="E17" s="188"/>
      <c r="F17" s="188"/>
      <c r="G17" s="188"/>
      <c r="H17" s="188"/>
      <c r="I17" s="188"/>
      <c r="J17" s="188"/>
      <c r="K17" s="188"/>
      <c r="L17" s="188"/>
      <c r="M17" s="188"/>
      <c r="N17" s="188"/>
      <c r="O17" s="188"/>
      <c r="P17" s="188"/>
      <c r="Q17" s="188"/>
      <c r="R17" s="188"/>
      <c r="S17" s="188"/>
      <c r="T17" s="188"/>
    </row>
    <row r="18" spans="1:20" s="9" customFormat="1" ht="17" thickBot="1">
      <c r="A18" s="282" t="s">
        <v>208</v>
      </c>
      <c r="B18" s="282"/>
      <c r="C18" s="282"/>
      <c r="D18" s="314"/>
      <c r="E18" s="282"/>
      <c r="F18" s="282"/>
      <c r="G18" s="282"/>
      <c r="H18" s="282"/>
      <c r="I18" s="282"/>
      <c r="J18" s="282"/>
      <c r="K18" s="282"/>
      <c r="L18" s="282"/>
      <c r="M18" s="282"/>
      <c r="N18" s="282"/>
      <c r="O18" s="282"/>
      <c r="P18" s="282"/>
      <c r="Q18" s="282"/>
      <c r="R18" s="282"/>
      <c r="S18" s="282"/>
      <c r="T18" s="282"/>
    </row>
    <row r="19" spans="1:20" s="74" customFormat="1" ht="17" thickBot="1">
      <c r="A19" s="236" t="s">
        <v>209</v>
      </c>
      <c r="B19" s="188"/>
      <c r="C19" s="188"/>
      <c r="D19" s="188"/>
      <c r="E19" s="188"/>
      <c r="F19" s="188"/>
      <c r="G19" s="188"/>
      <c r="H19" s="188"/>
      <c r="I19" s="188"/>
      <c r="J19" s="612" t="s">
        <v>619</v>
      </c>
      <c r="K19" s="613"/>
      <c r="L19" s="613"/>
      <c r="M19" s="613"/>
      <c r="N19" s="613"/>
      <c r="O19" s="613"/>
      <c r="P19" s="613"/>
      <c r="Q19" s="613"/>
      <c r="R19" s="613"/>
      <c r="S19" s="613"/>
      <c r="T19" s="614"/>
    </row>
    <row r="20" spans="1:20" s="74" customFormat="1">
      <c r="A20" s="315" t="s">
        <v>210</v>
      </c>
      <c r="B20" s="315"/>
      <c r="C20" s="316"/>
      <c r="D20" s="316"/>
      <c r="E20" s="188"/>
      <c r="F20" s="188"/>
      <c r="G20" s="188"/>
      <c r="H20" s="188"/>
      <c r="I20" s="188"/>
      <c r="J20" s="302" t="s">
        <v>611</v>
      </c>
      <c r="K20" s="303">
        <v>1</v>
      </c>
      <c r="L20" s="303">
        <v>2</v>
      </c>
      <c r="M20" s="303">
        <v>3</v>
      </c>
      <c r="N20" s="303">
        <v>4</v>
      </c>
      <c r="O20" s="303">
        <v>5</v>
      </c>
      <c r="P20" s="303">
        <v>6</v>
      </c>
      <c r="Q20" s="303">
        <v>7</v>
      </c>
      <c r="R20" s="303">
        <v>8</v>
      </c>
      <c r="S20" s="303">
        <v>9</v>
      </c>
      <c r="T20" s="303">
        <v>10</v>
      </c>
    </row>
    <row r="21" spans="1:20" s="74" customFormat="1">
      <c r="A21" s="317" t="s">
        <v>211</v>
      </c>
      <c r="B21" s="317" t="s">
        <v>212</v>
      </c>
      <c r="C21" s="317" t="s">
        <v>213</v>
      </c>
      <c r="D21" s="317" t="s">
        <v>214</v>
      </c>
      <c r="E21" s="188"/>
      <c r="F21" s="188"/>
      <c r="G21" s="188"/>
      <c r="H21" s="188"/>
      <c r="I21" s="188"/>
      <c r="J21" s="304" t="s">
        <v>612</v>
      </c>
      <c r="K21" s="305">
        <v>0</v>
      </c>
      <c r="L21" s="305">
        <v>2.9999999999999997E-4</v>
      </c>
      <c r="M21" s="305">
        <v>1.2999999999999999E-3</v>
      </c>
      <c r="N21" s="305">
        <v>2.3999999999999998E-3</v>
      </c>
      <c r="O21" s="305">
        <v>3.4999999999999996E-3</v>
      </c>
      <c r="P21" s="305">
        <v>4.5000000000000005E-3</v>
      </c>
      <c r="Q21" s="305">
        <v>5.1000000000000004E-3</v>
      </c>
      <c r="R21" s="305">
        <v>5.8999999999999999E-3</v>
      </c>
      <c r="S21" s="305">
        <v>6.4000000000000003E-3</v>
      </c>
      <c r="T21" s="305">
        <v>6.9999999999999993E-3</v>
      </c>
    </row>
    <row r="22" spans="1:20" s="74" customFormat="1">
      <c r="A22" s="286">
        <v>-100000</v>
      </c>
      <c r="B22" s="286">
        <v>0.19999900000000001</v>
      </c>
      <c r="C22" s="286" t="s">
        <v>427</v>
      </c>
      <c r="D22" s="494">
        <v>0.19</v>
      </c>
      <c r="E22" s="188"/>
      <c r="F22" s="188"/>
      <c r="G22" s="188"/>
      <c r="H22" s="188"/>
      <c r="I22" s="188"/>
      <c r="J22" s="304" t="s">
        <v>613</v>
      </c>
      <c r="K22" s="305">
        <v>2.0000000000000001E-4</v>
      </c>
      <c r="L22" s="305">
        <v>5.9999999999999995E-4</v>
      </c>
      <c r="M22" s="305">
        <v>1.1999999999999999E-3</v>
      </c>
      <c r="N22" s="305">
        <v>2.0999999999999999E-3</v>
      </c>
      <c r="O22" s="305">
        <v>3.0999999999999999E-3</v>
      </c>
      <c r="P22" s="305">
        <v>4.1999999999999997E-3</v>
      </c>
      <c r="Q22" s="305">
        <v>5.0000000000000001E-3</v>
      </c>
      <c r="R22" s="305">
        <v>5.7999999999999996E-3</v>
      </c>
      <c r="S22" s="305">
        <v>6.5000000000000006E-3</v>
      </c>
      <c r="T22" s="305">
        <v>7.1999999999999998E-3</v>
      </c>
    </row>
    <row r="23" spans="1:20" s="74" customFormat="1">
      <c r="A23" s="286">
        <v>0.2</v>
      </c>
      <c r="B23" s="286">
        <v>0.64999899999999999</v>
      </c>
      <c r="C23" s="286" t="s">
        <v>430</v>
      </c>
      <c r="D23" s="494">
        <v>0.16</v>
      </c>
      <c r="E23" s="188"/>
      <c r="F23" s="286"/>
      <c r="G23" s="188"/>
      <c r="H23" s="188"/>
      <c r="I23" s="188"/>
      <c r="J23" s="304" t="s">
        <v>614</v>
      </c>
      <c r="K23" s="305">
        <v>5.0000000000000001E-4</v>
      </c>
      <c r="L23" s="305">
        <v>1.4000000000000002E-3</v>
      </c>
      <c r="M23" s="305">
        <v>2.3E-3</v>
      </c>
      <c r="N23" s="305">
        <v>3.4999999999999996E-3</v>
      </c>
      <c r="O23" s="305">
        <v>4.6999999999999993E-3</v>
      </c>
      <c r="P23" s="305">
        <v>6.1999999999999998E-3</v>
      </c>
      <c r="Q23" s="305">
        <v>7.9000000000000008E-3</v>
      </c>
      <c r="R23" s="305">
        <v>9.300000000000001E-3</v>
      </c>
      <c r="S23" s="305">
        <v>1.0800000000000001E-2</v>
      </c>
      <c r="T23" s="305">
        <v>1.24E-2</v>
      </c>
    </row>
    <row r="24" spans="1:20" s="74" customFormat="1">
      <c r="A24" s="286">
        <v>0.65</v>
      </c>
      <c r="B24" s="286">
        <v>0.79999900000000002</v>
      </c>
      <c r="C24" s="286" t="s">
        <v>429</v>
      </c>
      <c r="D24" s="494">
        <v>0.12610099999999999</v>
      </c>
      <c r="E24" s="188"/>
      <c r="F24" s="188"/>
      <c r="G24" s="188"/>
      <c r="H24" s="188"/>
      <c r="I24" s="188"/>
      <c r="J24" s="304" t="s">
        <v>615</v>
      </c>
      <c r="K24" s="305">
        <v>1.6000000000000001E-3</v>
      </c>
      <c r="L24" s="305">
        <v>4.5000000000000005E-3</v>
      </c>
      <c r="M24" s="305">
        <v>7.8000000000000005E-3</v>
      </c>
      <c r="N24" s="305">
        <v>1.1699999999999999E-2</v>
      </c>
      <c r="O24" s="305">
        <v>1.5800000000000002E-2</v>
      </c>
      <c r="P24" s="305">
        <v>1.9799999999999998E-2</v>
      </c>
      <c r="Q24" s="305">
        <v>2.3300000000000001E-2</v>
      </c>
      <c r="R24" s="305">
        <v>2.6699999999999998E-2</v>
      </c>
      <c r="S24" s="305">
        <v>0.03</v>
      </c>
      <c r="T24" s="305">
        <v>3.32E-2</v>
      </c>
    </row>
    <row r="25" spans="1:20" s="74" customFormat="1">
      <c r="A25" s="286">
        <v>0.8</v>
      </c>
      <c r="B25" s="286">
        <v>1.2499990000000001</v>
      </c>
      <c r="C25" s="286" t="s">
        <v>428</v>
      </c>
      <c r="D25" s="494">
        <v>8.8499999999999995E-2</v>
      </c>
      <c r="E25" s="188"/>
      <c r="F25" s="188"/>
      <c r="G25" s="188"/>
      <c r="H25" s="188"/>
      <c r="I25" s="188"/>
      <c r="J25" s="304" t="s">
        <v>616</v>
      </c>
      <c r="K25" s="305">
        <v>6.0999999999999995E-3</v>
      </c>
      <c r="L25" s="305">
        <v>1.9199999999999998E-2</v>
      </c>
      <c r="M25" s="305">
        <v>3.4799999999999998E-2</v>
      </c>
      <c r="N25" s="305">
        <v>5.0499999999999996E-2</v>
      </c>
      <c r="O25" s="305">
        <v>6.5199999999999994E-2</v>
      </c>
      <c r="P25" s="305">
        <v>7.85E-2</v>
      </c>
      <c r="Q25" s="305">
        <v>9.01E-2</v>
      </c>
      <c r="R25" s="305">
        <v>0.10039999999999999</v>
      </c>
      <c r="S25" s="305">
        <v>0.10970000000000001</v>
      </c>
      <c r="T25" s="305">
        <v>0.11779999999999999</v>
      </c>
    </row>
    <row r="26" spans="1:20" s="74" customFormat="1">
      <c r="A26" s="286">
        <v>1.25</v>
      </c>
      <c r="B26" s="286">
        <v>1.4999990000000001</v>
      </c>
      <c r="C26" s="286" t="s">
        <v>431</v>
      </c>
      <c r="D26" s="494">
        <v>5.0899E-2</v>
      </c>
      <c r="E26" s="188"/>
      <c r="F26" s="188"/>
      <c r="G26" s="188"/>
      <c r="H26" s="188"/>
      <c r="I26" s="188"/>
      <c r="J26" s="304" t="s">
        <v>92</v>
      </c>
      <c r="K26" s="305">
        <v>3.3300000000000003E-2</v>
      </c>
      <c r="L26" s="305">
        <v>7.7100000000000002E-2</v>
      </c>
      <c r="M26" s="305">
        <v>0.11550000000000001</v>
      </c>
      <c r="N26" s="305">
        <v>0.14580000000000001</v>
      </c>
      <c r="O26" s="305">
        <v>0.16930000000000001</v>
      </c>
      <c r="P26" s="305">
        <v>0.1883</v>
      </c>
      <c r="Q26" s="305">
        <v>0.2036</v>
      </c>
      <c r="R26" s="305">
        <v>0.21600000000000003</v>
      </c>
      <c r="S26" s="305">
        <v>0.22699999999999998</v>
      </c>
      <c r="T26" s="305">
        <v>0.23739999999999997</v>
      </c>
    </row>
    <row r="27" spans="1:20" s="74" customFormat="1">
      <c r="A27" s="286">
        <v>1.5</v>
      </c>
      <c r="B27" s="286">
        <v>1.7499990000000001</v>
      </c>
      <c r="C27" s="286" t="s">
        <v>432</v>
      </c>
      <c r="D27" s="494">
        <v>3.2098000000000002E-2</v>
      </c>
      <c r="E27" s="188"/>
      <c r="F27" s="188"/>
      <c r="G27" s="188"/>
      <c r="H27" s="188"/>
      <c r="I27" s="188"/>
      <c r="J27" s="304" t="s">
        <v>617</v>
      </c>
      <c r="K27" s="305">
        <v>0.27079999999999999</v>
      </c>
      <c r="L27" s="305">
        <v>0.3664</v>
      </c>
      <c r="M27" s="305">
        <v>0.41409999999999997</v>
      </c>
      <c r="N27" s="305">
        <v>0.441</v>
      </c>
      <c r="O27" s="305">
        <v>0.46189999999999998</v>
      </c>
      <c r="P27" s="305">
        <v>0.47090000000000004</v>
      </c>
      <c r="Q27" s="305">
        <v>0.48259999999999997</v>
      </c>
      <c r="R27" s="305">
        <v>0.49049999999999999</v>
      </c>
      <c r="S27" s="305">
        <v>0.49759999999999999</v>
      </c>
      <c r="T27" s="305">
        <v>0.50380000000000003</v>
      </c>
    </row>
    <row r="28" spans="1:20" s="74" customFormat="1">
      <c r="A28" s="286">
        <v>1.75</v>
      </c>
      <c r="B28" s="286">
        <v>1.9999990000000001</v>
      </c>
      <c r="C28" s="286" t="s">
        <v>433</v>
      </c>
      <c r="D28" s="494">
        <v>2.7531E-2</v>
      </c>
      <c r="E28" s="188"/>
      <c r="F28" s="188"/>
      <c r="G28" s="188"/>
      <c r="H28" s="188"/>
      <c r="I28" s="188"/>
      <c r="J28" s="188"/>
      <c r="K28" s="188"/>
      <c r="L28" s="188"/>
      <c r="M28" s="188"/>
      <c r="N28" s="188"/>
      <c r="O28" s="188"/>
      <c r="P28" s="188"/>
      <c r="Q28" s="188"/>
      <c r="R28" s="188"/>
      <c r="S28" s="188"/>
      <c r="T28" s="188"/>
    </row>
    <row r="29" spans="1:20" s="74" customFormat="1">
      <c r="A29" s="286">
        <v>2</v>
      </c>
      <c r="B29" s="286">
        <v>2.2499999000000002</v>
      </c>
      <c r="C29" s="286" t="s">
        <v>434</v>
      </c>
      <c r="D29" s="494">
        <v>1.8394999999999998E-2</v>
      </c>
      <c r="E29" s="188"/>
      <c r="F29" s="188"/>
      <c r="G29" s="188"/>
      <c r="H29" s="188"/>
      <c r="I29" s="188"/>
      <c r="J29" s="188"/>
      <c r="K29" s="188"/>
      <c r="L29" s="188"/>
      <c r="M29" s="188"/>
      <c r="N29" s="188"/>
      <c r="O29" s="188"/>
      <c r="P29" s="188"/>
      <c r="Q29" s="188"/>
      <c r="R29" s="188"/>
      <c r="S29" s="188"/>
      <c r="T29" s="188"/>
    </row>
    <row r="30" spans="1:20" s="74" customFormat="1">
      <c r="A30" s="286">
        <v>2.25</v>
      </c>
      <c r="B30" s="286">
        <v>2.4999899999999999</v>
      </c>
      <c r="C30" s="286" t="s">
        <v>435</v>
      </c>
      <c r="D30" s="494">
        <v>1.3828E-2</v>
      </c>
      <c r="E30" s="188"/>
      <c r="F30" s="188"/>
      <c r="G30" s="188"/>
      <c r="H30" s="188"/>
      <c r="I30" s="188"/>
      <c r="J30" s="188"/>
      <c r="K30" s="188"/>
      <c r="L30" s="188"/>
      <c r="M30" s="188"/>
      <c r="N30" s="188"/>
      <c r="O30" s="188"/>
      <c r="P30" s="188"/>
      <c r="Q30" s="188"/>
      <c r="R30" s="188"/>
      <c r="S30" s="188"/>
      <c r="T30" s="188"/>
    </row>
    <row r="31" spans="1:20" s="74" customFormat="1">
      <c r="A31" s="286">
        <v>2.5</v>
      </c>
      <c r="B31" s="286">
        <v>2.9999989999999999</v>
      </c>
      <c r="C31" s="286" t="s">
        <v>436</v>
      </c>
      <c r="D31" s="494">
        <v>1.1113E-2</v>
      </c>
      <c r="E31" s="188"/>
      <c r="F31" s="188"/>
      <c r="G31" s="188"/>
      <c r="H31" s="188"/>
      <c r="I31" s="188"/>
      <c r="J31" s="188"/>
      <c r="K31" s="188"/>
      <c r="L31" s="188"/>
      <c r="M31" s="188"/>
      <c r="N31" s="188"/>
      <c r="O31" s="188"/>
      <c r="P31" s="188"/>
      <c r="Q31" s="188"/>
      <c r="R31" s="188"/>
      <c r="S31" s="188"/>
      <c r="T31" s="188"/>
    </row>
    <row r="32" spans="1:20" s="74" customFormat="1">
      <c r="A32" s="286">
        <v>3</v>
      </c>
      <c r="B32" s="286">
        <v>4.2499989999999999</v>
      </c>
      <c r="C32" s="286" t="s">
        <v>437</v>
      </c>
      <c r="D32" s="494">
        <v>8.8719999999999997E-3</v>
      </c>
      <c r="E32" s="188"/>
      <c r="F32" s="188"/>
      <c r="G32" s="188"/>
      <c r="H32" s="188"/>
      <c r="I32" s="188"/>
      <c r="J32" s="188"/>
      <c r="K32" s="188"/>
      <c r="L32" s="188"/>
      <c r="M32" s="188"/>
      <c r="N32" s="188"/>
      <c r="O32" s="188"/>
      <c r="P32" s="188"/>
      <c r="Q32" s="188"/>
      <c r="R32" s="188"/>
      <c r="S32" s="188"/>
      <c r="T32" s="188"/>
    </row>
    <row r="33" spans="1:20" s="74" customFormat="1">
      <c r="A33" s="286">
        <v>4.25</v>
      </c>
      <c r="B33" s="286">
        <v>5.4999989999999999</v>
      </c>
      <c r="C33" s="286" t="s">
        <v>438</v>
      </c>
      <c r="D33" s="494">
        <v>7.7510000000000009E-3</v>
      </c>
      <c r="E33" s="188"/>
      <c r="F33" s="188"/>
      <c r="G33" s="188"/>
      <c r="H33" s="188"/>
      <c r="I33" s="188"/>
      <c r="J33" s="188"/>
      <c r="K33" s="188"/>
      <c r="L33" s="188"/>
      <c r="M33" s="188"/>
      <c r="N33" s="188"/>
      <c r="O33" s="188"/>
      <c r="P33" s="188"/>
      <c r="Q33" s="188"/>
      <c r="R33" s="188"/>
      <c r="S33" s="188"/>
      <c r="T33" s="188"/>
    </row>
    <row r="34" spans="1:20" s="74" customFormat="1">
      <c r="A34" s="286">
        <v>5.5</v>
      </c>
      <c r="B34" s="286">
        <v>6.4999989999999999</v>
      </c>
      <c r="C34" s="286" t="s">
        <v>439</v>
      </c>
      <c r="D34" s="494">
        <v>7.0030000000000005E-3</v>
      </c>
      <c r="E34" s="188"/>
      <c r="F34" s="188"/>
      <c r="G34" s="188"/>
      <c r="H34" s="188"/>
      <c r="I34" s="188"/>
      <c r="J34" s="188"/>
      <c r="K34" s="188"/>
      <c r="L34" s="188"/>
      <c r="M34" s="188"/>
      <c r="N34" s="188"/>
      <c r="O34" s="188"/>
      <c r="P34" s="188"/>
      <c r="Q34" s="188"/>
      <c r="R34" s="188"/>
      <c r="S34" s="188"/>
      <c r="T34" s="188"/>
    </row>
    <row r="35" spans="1:20" s="74" customFormat="1">
      <c r="A35" s="286">
        <v>6.5</v>
      </c>
      <c r="B35" s="286">
        <v>8.4999990000000007</v>
      </c>
      <c r="C35" s="286" t="s">
        <v>440</v>
      </c>
      <c r="D35" s="494">
        <v>5.5060000000000005E-3</v>
      </c>
      <c r="E35" s="188"/>
      <c r="F35" s="188"/>
      <c r="G35" s="188"/>
      <c r="H35" s="188"/>
      <c r="I35" s="188"/>
      <c r="J35" s="188"/>
      <c r="K35" s="188"/>
      <c r="L35" s="188"/>
      <c r="M35" s="188"/>
      <c r="N35" s="188"/>
      <c r="O35" s="188"/>
      <c r="P35" s="188"/>
      <c r="Q35" s="188"/>
      <c r="R35" s="188"/>
      <c r="S35" s="188"/>
      <c r="T35" s="188"/>
    </row>
    <row r="36" spans="1:20" s="74" customFormat="1">
      <c r="A36" s="318">
        <v>8.5</v>
      </c>
      <c r="B36" s="286">
        <v>100000</v>
      </c>
      <c r="C36" s="286" t="s">
        <v>441</v>
      </c>
      <c r="D36" s="494">
        <v>4.0000000000000001E-3</v>
      </c>
      <c r="E36" s="188"/>
      <c r="F36" s="188"/>
      <c r="G36" s="188"/>
      <c r="H36" s="188"/>
      <c r="I36" s="188"/>
      <c r="J36" s="188"/>
      <c r="K36" s="188"/>
      <c r="L36" s="188"/>
      <c r="M36" s="188"/>
      <c r="N36" s="188"/>
      <c r="O36" s="188"/>
      <c r="P36" s="188"/>
      <c r="Q36" s="188"/>
      <c r="R36" s="188"/>
      <c r="S36" s="188"/>
      <c r="T36" s="188"/>
    </row>
    <row r="37" spans="1:20" s="74" customFormat="1">
      <c r="A37" s="188"/>
      <c r="B37" s="188"/>
      <c r="C37" s="188"/>
      <c r="D37" s="188"/>
      <c r="E37" s="188"/>
      <c r="F37" s="188"/>
      <c r="G37" s="188"/>
      <c r="H37" s="188"/>
      <c r="I37" s="188"/>
      <c r="J37" s="188"/>
      <c r="K37" s="188"/>
      <c r="L37" s="188"/>
      <c r="M37" s="188"/>
      <c r="N37" s="188"/>
      <c r="O37" s="188"/>
      <c r="P37" s="188"/>
      <c r="Q37" s="188"/>
      <c r="R37" s="188"/>
      <c r="S37" s="188"/>
      <c r="T37" s="188"/>
    </row>
    <row r="38" spans="1:20" s="74" customFormat="1">
      <c r="A38" s="236" t="s">
        <v>216</v>
      </c>
      <c r="B38" s="188"/>
      <c r="C38" s="188"/>
      <c r="D38" s="188"/>
      <c r="E38" s="188"/>
      <c r="F38" s="188"/>
      <c r="G38" s="188"/>
      <c r="H38" s="188"/>
      <c r="I38" s="188"/>
      <c r="J38" s="188"/>
      <c r="K38" s="188"/>
      <c r="L38" s="188"/>
      <c r="M38" s="188"/>
      <c r="N38" s="188"/>
      <c r="O38" s="188"/>
      <c r="P38" s="188"/>
      <c r="Q38" s="188"/>
      <c r="R38" s="188"/>
      <c r="S38" s="188"/>
      <c r="T38" s="188"/>
    </row>
    <row r="39" spans="1:20" s="74" customFormat="1">
      <c r="A39" s="315" t="s">
        <v>210</v>
      </c>
      <c r="B39" s="319"/>
      <c r="C39" s="286"/>
      <c r="D39" s="286"/>
      <c r="E39" s="188"/>
      <c r="F39" s="188"/>
      <c r="G39" s="188"/>
      <c r="H39" s="188"/>
      <c r="I39" s="188"/>
      <c r="J39" s="188"/>
      <c r="K39" s="188"/>
      <c r="L39" s="188"/>
      <c r="M39" s="188"/>
      <c r="N39" s="188"/>
      <c r="O39" s="188"/>
      <c r="P39" s="188"/>
      <c r="Q39" s="188"/>
      <c r="R39" s="188"/>
      <c r="S39" s="188"/>
      <c r="T39" s="188"/>
    </row>
    <row r="40" spans="1:20" s="74" customFormat="1">
      <c r="A40" s="286" t="s">
        <v>215</v>
      </c>
      <c r="B40" s="286" t="s">
        <v>212</v>
      </c>
      <c r="C40" s="286" t="s">
        <v>213</v>
      </c>
      <c r="D40" s="286" t="s">
        <v>214</v>
      </c>
      <c r="E40" s="188"/>
      <c r="F40" s="188"/>
      <c r="G40" s="188"/>
      <c r="H40" s="188"/>
      <c r="I40" s="188"/>
      <c r="J40" s="188"/>
      <c r="K40" s="188"/>
      <c r="L40" s="188"/>
      <c r="M40" s="188"/>
      <c r="N40" s="188"/>
      <c r="O40" s="188"/>
      <c r="P40" s="188"/>
      <c r="Q40" s="188"/>
      <c r="R40" s="188"/>
      <c r="S40" s="188"/>
      <c r="T40" s="188"/>
    </row>
    <row r="41" spans="1:20" s="74" customFormat="1">
      <c r="A41" s="286">
        <v>-100000</v>
      </c>
      <c r="B41" s="286">
        <v>0.49999900000000003</v>
      </c>
      <c r="C41" s="286" t="s">
        <v>427</v>
      </c>
      <c r="D41" s="494">
        <v>0.19</v>
      </c>
      <c r="E41" s="188"/>
      <c r="F41" s="188"/>
      <c r="G41" s="317" t="s">
        <v>213</v>
      </c>
      <c r="H41" s="317" t="s">
        <v>214</v>
      </c>
      <c r="I41" s="188"/>
      <c r="J41" s="188"/>
      <c r="K41" s="188"/>
      <c r="L41" s="317"/>
      <c r="M41" s="317"/>
      <c r="N41" s="188"/>
      <c r="O41" s="188"/>
      <c r="P41" s="188"/>
      <c r="Q41" s="188"/>
      <c r="R41" s="188"/>
      <c r="S41" s="188"/>
      <c r="T41" s="188"/>
    </row>
    <row r="42" spans="1:20" s="74" customFormat="1">
      <c r="A42" s="286">
        <v>0.5</v>
      </c>
      <c r="B42" s="286">
        <v>0.79999900000000002</v>
      </c>
      <c r="C42" s="286" t="s">
        <v>430</v>
      </c>
      <c r="D42" s="494">
        <v>0.16</v>
      </c>
      <c r="E42" s="188"/>
      <c r="F42" s="188"/>
      <c r="G42" s="286" t="s">
        <v>439</v>
      </c>
      <c r="H42" s="494">
        <v>7.0030000000000005E-3</v>
      </c>
      <c r="I42" s="188"/>
      <c r="J42" s="188"/>
      <c r="K42" s="188"/>
      <c r="L42" s="286"/>
      <c r="M42" s="494"/>
      <c r="N42" s="188"/>
      <c r="O42" s="188"/>
      <c r="P42" s="188"/>
      <c r="Q42" s="188"/>
      <c r="R42" s="188"/>
      <c r="S42" s="188"/>
      <c r="T42" s="188"/>
    </row>
    <row r="43" spans="1:20" s="74" customFormat="1">
      <c r="A43" s="286">
        <v>0.8</v>
      </c>
      <c r="B43" s="286">
        <v>1.2499990000000001</v>
      </c>
      <c r="C43" s="286" t="s">
        <v>429</v>
      </c>
      <c r="D43" s="494">
        <v>0.12610099999999999</v>
      </c>
      <c r="E43" s="188"/>
      <c r="F43" s="188"/>
      <c r="G43" s="286" t="s">
        <v>438</v>
      </c>
      <c r="H43" s="494">
        <v>7.7510000000000009E-3</v>
      </c>
      <c r="I43" s="188"/>
      <c r="J43" s="188"/>
      <c r="K43" s="188"/>
      <c r="L43" s="286"/>
      <c r="M43" s="494"/>
      <c r="N43" s="188"/>
      <c r="O43" s="188"/>
      <c r="P43" s="188"/>
      <c r="Q43" s="188"/>
      <c r="R43" s="188"/>
      <c r="S43" s="188"/>
      <c r="T43" s="188"/>
    </row>
    <row r="44" spans="1:20" s="74" customFormat="1">
      <c r="A44" s="286">
        <v>1.25</v>
      </c>
      <c r="B44" s="286">
        <v>1.4999990000000001</v>
      </c>
      <c r="C44" s="286" t="s">
        <v>428</v>
      </c>
      <c r="D44" s="494">
        <v>8.8499999999999995E-2</v>
      </c>
      <c r="E44" s="188"/>
      <c r="F44" s="188"/>
      <c r="G44" s="286" t="s">
        <v>437</v>
      </c>
      <c r="H44" s="494">
        <v>8.8719999999999997E-3</v>
      </c>
      <c r="I44" s="188"/>
      <c r="J44" s="188"/>
      <c r="K44" s="188"/>
      <c r="L44" s="286"/>
      <c r="M44" s="494"/>
      <c r="N44" s="188"/>
      <c r="O44" s="188"/>
      <c r="P44" s="188"/>
      <c r="Q44" s="188"/>
      <c r="R44" s="188"/>
      <c r="S44" s="188"/>
      <c r="T44" s="188"/>
    </row>
    <row r="45" spans="1:20" s="74" customFormat="1">
      <c r="A45" s="286">
        <v>1.5</v>
      </c>
      <c r="B45" s="286">
        <v>1.9999990000000001</v>
      </c>
      <c r="C45" s="286" t="s">
        <v>431</v>
      </c>
      <c r="D45" s="494">
        <v>5.0899E-2</v>
      </c>
      <c r="E45" s="188"/>
      <c r="F45" s="188"/>
      <c r="G45" s="286" t="s">
        <v>440</v>
      </c>
      <c r="H45" s="494">
        <v>5.5060000000000005E-3</v>
      </c>
      <c r="I45" s="188"/>
      <c r="J45" s="188"/>
      <c r="K45" s="188"/>
      <c r="L45" s="286"/>
      <c r="M45" s="494"/>
      <c r="N45" s="188"/>
      <c r="O45" s="188"/>
      <c r="P45" s="188"/>
      <c r="Q45" s="188"/>
      <c r="R45" s="188"/>
      <c r="S45" s="188"/>
      <c r="T45" s="188"/>
    </row>
    <row r="46" spans="1:20" s="74" customFormat="1">
      <c r="A46" s="286">
        <v>2</v>
      </c>
      <c r="B46" s="286">
        <v>2.4999989999999999</v>
      </c>
      <c r="C46" s="286" t="s">
        <v>432</v>
      </c>
      <c r="D46" s="494">
        <v>3.2098000000000002E-2</v>
      </c>
      <c r="E46" s="188"/>
      <c r="F46" s="188"/>
      <c r="G46" s="286" t="s">
        <v>441</v>
      </c>
      <c r="H46" s="494">
        <v>4.0000000000000001E-3</v>
      </c>
      <c r="I46" s="188"/>
      <c r="J46" s="188"/>
      <c r="K46" s="188"/>
      <c r="L46" s="286"/>
      <c r="M46" s="494"/>
      <c r="N46" s="188"/>
      <c r="O46" s="188"/>
      <c r="P46" s="188"/>
      <c r="Q46" s="188"/>
      <c r="R46" s="188"/>
      <c r="S46" s="188"/>
      <c r="T46" s="188"/>
    </row>
    <row r="47" spans="1:20" s="74" customFormat="1">
      <c r="A47" s="286">
        <v>2.5</v>
      </c>
      <c r="B47" s="286">
        <v>2.9999989999999999</v>
      </c>
      <c r="C47" s="286" t="s">
        <v>433</v>
      </c>
      <c r="D47" s="494">
        <v>2.7531E-2</v>
      </c>
      <c r="E47" s="188"/>
      <c r="F47" s="188"/>
      <c r="G47" s="286" t="s">
        <v>433</v>
      </c>
      <c r="H47" s="494">
        <v>2.7531E-2</v>
      </c>
      <c r="I47" s="188"/>
      <c r="J47" s="188"/>
      <c r="K47" s="188"/>
      <c r="L47" s="286"/>
      <c r="M47" s="494"/>
      <c r="N47" s="188"/>
      <c r="O47" s="188"/>
      <c r="P47" s="188"/>
      <c r="Q47" s="188"/>
      <c r="R47" s="188"/>
      <c r="S47" s="188"/>
      <c r="T47" s="188"/>
    </row>
    <row r="48" spans="1:20" s="74" customFormat="1">
      <c r="A48" s="286">
        <v>3</v>
      </c>
      <c r="B48" s="286">
        <v>3.4999989999999999</v>
      </c>
      <c r="C48" s="286" t="s">
        <v>434</v>
      </c>
      <c r="D48" s="494">
        <v>1.8394999999999998E-2</v>
      </c>
      <c r="E48" s="188"/>
      <c r="F48" s="188"/>
      <c r="G48" s="286" t="s">
        <v>432</v>
      </c>
      <c r="H48" s="494">
        <v>3.2098000000000002E-2</v>
      </c>
      <c r="I48" s="188"/>
      <c r="J48" s="188"/>
      <c r="K48" s="188"/>
      <c r="L48" s="286"/>
      <c r="M48" s="494"/>
      <c r="N48" s="188"/>
      <c r="O48" s="188"/>
      <c r="P48" s="188"/>
      <c r="Q48" s="188"/>
      <c r="R48" s="188"/>
      <c r="S48" s="188"/>
      <c r="T48" s="188"/>
    </row>
    <row r="49" spans="1:25" s="74" customFormat="1">
      <c r="A49" s="286">
        <v>3.5</v>
      </c>
      <c r="B49" s="286">
        <v>3.9999999000000002</v>
      </c>
      <c r="C49" s="286" t="s">
        <v>435</v>
      </c>
      <c r="D49" s="494">
        <v>1.3828E-2</v>
      </c>
      <c r="E49" s="188"/>
      <c r="F49" s="188"/>
      <c r="G49" s="286" t="s">
        <v>431</v>
      </c>
      <c r="H49" s="494">
        <v>5.0899E-2</v>
      </c>
      <c r="I49" s="188"/>
      <c r="J49" s="188"/>
      <c r="K49" s="188"/>
      <c r="L49" s="286"/>
      <c r="M49" s="494"/>
      <c r="N49" s="188"/>
      <c r="O49" s="188"/>
      <c r="P49" s="188"/>
      <c r="Q49" s="188"/>
      <c r="R49" s="188"/>
      <c r="S49" s="188"/>
      <c r="T49" s="188"/>
    </row>
    <row r="50" spans="1:25" s="74" customFormat="1">
      <c r="A50" s="286">
        <v>4</v>
      </c>
      <c r="B50" s="286">
        <v>4.4999989999999999</v>
      </c>
      <c r="C50" s="286" t="s">
        <v>436</v>
      </c>
      <c r="D50" s="494">
        <v>1.1113E-2</v>
      </c>
      <c r="E50" s="188"/>
      <c r="F50" s="188"/>
      <c r="G50" s="286" t="s">
        <v>435</v>
      </c>
      <c r="H50" s="494">
        <v>1.3828E-2</v>
      </c>
      <c r="I50" s="188"/>
      <c r="J50" s="188"/>
      <c r="K50" s="188"/>
      <c r="L50" s="286"/>
      <c r="M50" s="494"/>
      <c r="N50" s="188"/>
      <c r="O50" s="188"/>
      <c r="P50" s="188"/>
      <c r="Q50" s="188"/>
      <c r="R50" s="188"/>
      <c r="S50" s="188"/>
      <c r="T50" s="188"/>
    </row>
    <row r="51" spans="1:25" s="74" customFormat="1">
      <c r="A51" s="286">
        <v>4.5</v>
      </c>
      <c r="B51" s="286">
        <v>5.9999989999999999</v>
      </c>
      <c r="C51" s="286" t="s">
        <v>437</v>
      </c>
      <c r="D51" s="494">
        <v>8.8719999999999997E-3</v>
      </c>
      <c r="E51" s="188"/>
      <c r="F51" s="188"/>
      <c r="G51" s="286" t="s">
        <v>434</v>
      </c>
      <c r="H51" s="494">
        <v>1.8394999999999998E-2</v>
      </c>
      <c r="I51" s="188"/>
      <c r="J51" s="188"/>
      <c r="K51" s="188"/>
      <c r="L51" s="286"/>
      <c r="M51" s="494"/>
      <c r="N51" s="188"/>
      <c r="O51" s="188"/>
      <c r="P51" s="188"/>
      <c r="Q51" s="188"/>
      <c r="R51" s="188"/>
      <c r="S51" s="188"/>
      <c r="T51" s="188"/>
    </row>
    <row r="52" spans="1:25" s="74" customFormat="1">
      <c r="A52" s="286">
        <v>6</v>
      </c>
      <c r="B52" s="286">
        <v>7.4999989999999999</v>
      </c>
      <c r="C52" s="286" t="s">
        <v>438</v>
      </c>
      <c r="D52" s="494">
        <v>7.7510000000000009E-3</v>
      </c>
      <c r="E52" s="188"/>
      <c r="F52" s="188"/>
      <c r="G52" s="286" t="s">
        <v>436</v>
      </c>
      <c r="H52" s="494">
        <v>1.1113E-2</v>
      </c>
      <c r="I52" s="188"/>
      <c r="J52" s="188"/>
      <c r="K52" s="188"/>
      <c r="L52" s="286"/>
      <c r="M52" s="494"/>
      <c r="N52" s="188"/>
      <c r="O52" s="188"/>
      <c r="P52" s="188"/>
      <c r="Q52" s="188"/>
      <c r="R52" s="188"/>
      <c r="S52" s="188"/>
      <c r="T52" s="188"/>
    </row>
    <row r="53" spans="1:25" s="74" customFormat="1">
      <c r="A53" s="286">
        <v>7.5</v>
      </c>
      <c r="B53" s="286">
        <v>9.4999990000000007</v>
      </c>
      <c r="C53" s="286" t="s">
        <v>439</v>
      </c>
      <c r="D53" s="494">
        <v>7.0030000000000005E-3</v>
      </c>
      <c r="E53" s="188"/>
      <c r="F53" s="188"/>
      <c r="G53" s="286" t="s">
        <v>430</v>
      </c>
      <c r="H53" s="494">
        <v>0.16</v>
      </c>
      <c r="I53" s="188"/>
      <c r="J53" s="188"/>
      <c r="K53" s="188"/>
      <c r="L53" s="286"/>
      <c r="M53" s="494"/>
      <c r="N53" s="188"/>
      <c r="O53" s="188"/>
      <c r="P53" s="188"/>
      <c r="Q53" s="188"/>
      <c r="R53" s="188"/>
      <c r="S53" s="188"/>
      <c r="T53" s="188"/>
    </row>
    <row r="54" spans="1:25">
      <c r="A54" s="286">
        <v>9.5</v>
      </c>
      <c r="B54" s="286">
        <v>12.499999000000001</v>
      </c>
      <c r="C54" s="286" t="s">
        <v>440</v>
      </c>
      <c r="D54" s="494">
        <v>5.5060000000000005E-3</v>
      </c>
      <c r="G54" s="286" t="s">
        <v>429</v>
      </c>
      <c r="H54" s="494">
        <v>0.12610099999999999</v>
      </c>
      <c r="L54" s="286"/>
      <c r="M54" s="494"/>
      <c r="U54" s="74"/>
      <c r="V54" s="74"/>
      <c r="W54" s="74"/>
      <c r="X54" s="74"/>
      <c r="Y54" s="74"/>
    </row>
    <row r="55" spans="1:25">
      <c r="A55" s="286">
        <v>12.5</v>
      </c>
      <c r="B55" s="286">
        <v>100000</v>
      </c>
      <c r="C55" s="286" t="s">
        <v>441</v>
      </c>
      <c r="D55" s="494">
        <v>4.0000000000000001E-3</v>
      </c>
      <c r="G55" s="286" t="s">
        <v>428</v>
      </c>
      <c r="H55" s="494">
        <v>8.8499999999999995E-2</v>
      </c>
      <c r="L55" s="286"/>
      <c r="M55" s="494"/>
      <c r="U55" s="74"/>
      <c r="V55" s="74"/>
      <c r="W55" s="74"/>
      <c r="X55" s="74"/>
      <c r="Y55" s="74"/>
    </row>
    <row r="56" spans="1:25">
      <c r="G56" s="286" t="s">
        <v>427</v>
      </c>
      <c r="H56" s="494">
        <v>0.19</v>
      </c>
      <c r="L56" s="286"/>
      <c r="M56" s="494"/>
      <c r="U56" s="74"/>
      <c r="V56" s="74"/>
      <c r="W56" s="74"/>
      <c r="X56" s="74"/>
      <c r="Y56" s="74"/>
    </row>
    <row r="57" spans="1:25">
      <c r="U57" s="74"/>
      <c r="V57" s="74"/>
      <c r="W57" s="74"/>
      <c r="X57" s="74"/>
      <c r="Y57" s="74"/>
    </row>
    <row r="58" spans="1:25">
      <c r="U58" s="74"/>
      <c r="V58" s="74"/>
      <c r="W58" s="74"/>
      <c r="X58" s="74"/>
      <c r="Y58" s="74"/>
    </row>
    <row r="59" spans="1:25">
      <c r="U59" s="74"/>
      <c r="V59" s="74"/>
      <c r="W59" s="74"/>
      <c r="X59" s="74"/>
      <c r="Y59" s="74"/>
    </row>
    <row r="60" spans="1:25">
      <c r="U60" s="74"/>
      <c r="V60" s="74"/>
      <c r="W60" s="74"/>
      <c r="X60" s="74"/>
      <c r="Y60" s="74"/>
    </row>
  </sheetData>
  <sortState xmlns:xlrd2="http://schemas.microsoft.com/office/spreadsheetml/2017/richdata2" ref="L42:M56">
    <sortCondition ref="L42:L56"/>
  </sortState>
  <mergeCells count="2">
    <mergeCell ref="J19:T19"/>
    <mergeCell ref="A1:L2"/>
  </mergeCells>
  <pageMargins left="0.75" right="0.75" top="1" bottom="1" header="0.5" footer="0.5"/>
  <pageSetup orientation="portrait" horizontalDpi="4294967292" verticalDpi="4294967292"/>
  <headerFooter alignWithMargins="0"/>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41"/>
  <sheetViews>
    <sheetView topLeftCell="A36" zoomScale="141" zoomScaleNormal="141" workbookViewId="0">
      <selection activeCell="D40" sqref="D40"/>
    </sheetView>
  </sheetViews>
  <sheetFormatPr baseColWidth="10" defaultRowHeight="13"/>
  <cols>
    <col min="1" max="1" width="28.33203125" style="295" customWidth="1"/>
    <col min="2" max="2" width="17.33203125" style="295" customWidth="1"/>
    <col min="3" max="3" width="11" style="295" bestFit="1" customWidth="1"/>
    <col min="4" max="4" width="13.6640625" style="295" customWidth="1"/>
    <col min="5" max="6" width="11.1640625" style="295" bestFit="1" customWidth="1"/>
    <col min="7" max="10" width="10.83203125" style="295"/>
  </cols>
  <sheetData>
    <row r="1" spans="1:10" s="5" customFormat="1" ht="18">
      <c r="A1" s="321" t="s">
        <v>380</v>
      </c>
      <c r="B1" s="321"/>
      <c r="C1" s="321"/>
      <c r="D1" s="321"/>
      <c r="E1" s="321"/>
      <c r="F1" s="321"/>
      <c r="G1" s="321"/>
      <c r="H1" s="321"/>
      <c r="I1" s="321"/>
      <c r="J1" s="321"/>
    </row>
    <row r="2" spans="1:10" s="6" customFormat="1">
      <c r="A2" s="297" t="s">
        <v>381</v>
      </c>
      <c r="B2" s="297"/>
      <c r="C2" s="297"/>
      <c r="D2" s="297"/>
      <c r="E2" s="297"/>
      <c r="F2" s="297"/>
      <c r="G2" s="297"/>
      <c r="H2" s="297"/>
      <c r="I2" s="297"/>
      <c r="J2" s="297"/>
    </row>
    <row r="3" spans="1:10" s="6" customFormat="1">
      <c r="A3" s="297" t="s">
        <v>382</v>
      </c>
      <c r="B3" s="297"/>
      <c r="C3" s="297"/>
      <c r="D3" s="297"/>
      <c r="E3" s="297"/>
      <c r="F3" s="297"/>
      <c r="G3" s="297"/>
      <c r="H3" s="297"/>
      <c r="I3" s="297"/>
      <c r="J3" s="297"/>
    </row>
    <row r="4" spans="1:10" s="6" customFormat="1">
      <c r="A4" s="297"/>
      <c r="B4" s="297"/>
      <c r="C4" s="297"/>
      <c r="D4" s="297"/>
      <c r="E4" s="297"/>
      <c r="F4" s="297"/>
      <c r="G4" s="297"/>
      <c r="H4" s="297"/>
      <c r="I4" s="297"/>
      <c r="J4" s="297"/>
    </row>
    <row r="5" spans="1:10" s="6" customFormat="1">
      <c r="A5" s="301" t="s">
        <v>4</v>
      </c>
      <c r="B5" s="297"/>
      <c r="C5" s="297"/>
      <c r="D5" s="297"/>
      <c r="E5" s="297"/>
      <c r="F5" s="297"/>
      <c r="G5" s="297"/>
      <c r="H5" s="297"/>
      <c r="I5" s="297"/>
      <c r="J5" s="297"/>
    </row>
    <row r="6" spans="1:10" s="6" customFormat="1">
      <c r="A6" s="297" t="s">
        <v>383</v>
      </c>
      <c r="B6" s="297"/>
      <c r="C6" s="297"/>
      <c r="D6" s="297"/>
      <c r="E6" s="297"/>
      <c r="F6" s="322">
        <v>3</v>
      </c>
      <c r="G6" s="297" t="s">
        <v>384</v>
      </c>
      <c r="H6" s="297"/>
      <c r="I6" s="297"/>
      <c r="J6" s="297"/>
    </row>
    <row r="7" spans="1:10" s="6" customFormat="1">
      <c r="A7" s="297" t="s">
        <v>385</v>
      </c>
      <c r="B7" s="297"/>
      <c r="C7" s="297"/>
      <c r="D7" s="297"/>
      <c r="E7" s="297"/>
      <c r="F7" s="323">
        <v>85622</v>
      </c>
      <c r="G7" s="297" t="s">
        <v>386</v>
      </c>
      <c r="H7" s="297"/>
      <c r="I7" s="297"/>
      <c r="J7" s="297"/>
    </row>
    <row r="8" spans="1:10" s="6" customFormat="1">
      <c r="A8" s="297" t="s">
        <v>387</v>
      </c>
      <c r="B8" s="297"/>
      <c r="C8" s="297"/>
      <c r="D8" s="297"/>
      <c r="E8" s="297"/>
      <c r="F8" s="297"/>
      <c r="G8" s="297"/>
      <c r="H8" s="297"/>
      <c r="I8" s="297"/>
      <c r="J8" s="297"/>
    </row>
    <row r="9" spans="1:10" s="6" customFormat="1">
      <c r="A9" s="297" t="s">
        <v>388</v>
      </c>
      <c r="B9" s="297"/>
      <c r="C9" s="297"/>
      <c r="D9" s="297"/>
      <c r="E9" s="297"/>
      <c r="F9" s="297"/>
      <c r="G9" s="297"/>
      <c r="H9" s="297"/>
      <c r="I9" s="297"/>
      <c r="J9" s="297"/>
    </row>
    <row r="10" spans="1:10" s="95" customFormat="1">
      <c r="A10" s="332" t="s">
        <v>108</v>
      </c>
      <c r="B10" s="332" t="s">
        <v>389</v>
      </c>
      <c r="C10" s="325"/>
      <c r="D10" s="325"/>
      <c r="E10" s="325"/>
      <c r="F10" s="325"/>
      <c r="G10" s="325"/>
      <c r="H10" s="325"/>
      <c r="I10" s="325"/>
      <c r="J10" s="326"/>
    </row>
    <row r="11" spans="1:10" s="95" customFormat="1">
      <c r="A11" s="404">
        <v>-1</v>
      </c>
      <c r="B11" s="405">
        <v>73213</v>
      </c>
      <c r="C11" s="325" t="s">
        <v>966</v>
      </c>
      <c r="D11" s="325"/>
      <c r="E11" s="325"/>
      <c r="F11" s="325"/>
      <c r="G11" s="325"/>
      <c r="H11" s="325"/>
      <c r="I11" s="325"/>
      <c r="J11" s="326"/>
    </row>
    <row r="12" spans="1:10" s="95" customFormat="1">
      <c r="A12" s="404">
        <f>IF((0-A11)&lt;$F$6,IF(A11&gt;-1,,A11-1),)</f>
        <v>-2</v>
      </c>
      <c r="B12" s="405">
        <v>56052</v>
      </c>
      <c r="C12" s="325" t="s">
        <v>967</v>
      </c>
      <c r="D12" s="325"/>
      <c r="E12" s="325"/>
      <c r="F12" s="325"/>
      <c r="G12" s="325"/>
      <c r="H12" s="325"/>
      <c r="I12" s="325"/>
      <c r="J12" s="326"/>
    </row>
    <row r="13" spans="1:10" s="95" customFormat="1">
      <c r="A13" s="404">
        <f t="shared" ref="A13:A20" si="0">IF((0-A12)&lt;$F$6,IF(A12&gt;-1,,A12-1),)</f>
        <v>-3</v>
      </c>
      <c r="B13" s="405">
        <v>42740</v>
      </c>
      <c r="C13" s="325"/>
      <c r="D13" s="325"/>
      <c r="E13" s="325"/>
      <c r="F13" s="325"/>
      <c r="G13" s="325"/>
      <c r="H13" s="325"/>
      <c r="I13" s="325"/>
      <c r="J13" s="326"/>
    </row>
    <row r="14" spans="1:10" s="95" customFormat="1">
      <c r="A14" s="404">
        <f t="shared" si="0"/>
        <v>0</v>
      </c>
      <c r="B14" s="405"/>
      <c r="C14" s="325"/>
      <c r="D14" s="325"/>
      <c r="E14" s="325"/>
      <c r="F14" s="325"/>
      <c r="G14" s="325"/>
      <c r="H14" s="325"/>
      <c r="I14" s="325"/>
      <c r="J14" s="326"/>
    </row>
    <row r="15" spans="1:10" s="95" customFormat="1">
      <c r="A15" s="404">
        <f t="shared" si="0"/>
        <v>0</v>
      </c>
      <c r="B15" s="405"/>
      <c r="C15" s="325"/>
      <c r="D15" s="325"/>
      <c r="E15" s="325"/>
      <c r="F15" s="325"/>
      <c r="G15" s="325"/>
      <c r="H15" s="325"/>
      <c r="I15" s="325"/>
      <c r="J15" s="326"/>
    </row>
    <row r="16" spans="1:10" s="95" customFormat="1">
      <c r="A16" s="404">
        <f t="shared" si="0"/>
        <v>0</v>
      </c>
      <c r="B16" s="405"/>
      <c r="C16" s="325"/>
      <c r="D16" s="325"/>
      <c r="E16" s="325"/>
      <c r="F16" s="325"/>
      <c r="G16" s="325"/>
      <c r="H16" s="325"/>
      <c r="I16" s="325"/>
      <c r="J16" s="326"/>
    </row>
    <row r="17" spans="1:10" s="95" customFormat="1">
      <c r="A17" s="404">
        <f t="shared" si="0"/>
        <v>0</v>
      </c>
      <c r="B17" s="405"/>
      <c r="C17" s="325"/>
      <c r="D17" s="325"/>
      <c r="E17" s="325"/>
      <c r="F17" s="325"/>
      <c r="G17" s="325"/>
      <c r="H17" s="325"/>
      <c r="I17" s="325"/>
      <c r="J17" s="326"/>
    </row>
    <row r="18" spans="1:10" s="95" customFormat="1">
      <c r="A18" s="404">
        <f t="shared" si="0"/>
        <v>0</v>
      </c>
      <c r="B18" s="405"/>
      <c r="C18" s="325"/>
      <c r="D18" s="325"/>
      <c r="E18" s="325"/>
      <c r="F18" s="325"/>
      <c r="G18" s="325"/>
      <c r="H18" s="325"/>
      <c r="I18" s="325"/>
      <c r="J18" s="326"/>
    </row>
    <row r="19" spans="1:10" s="95" customFormat="1">
      <c r="A19" s="404">
        <f t="shared" si="0"/>
        <v>0</v>
      </c>
      <c r="B19" s="405"/>
      <c r="C19" s="325"/>
      <c r="D19" s="325"/>
      <c r="E19" s="325"/>
      <c r="F19" s="325"/>
      <c r="G19" s="325"/>
      <c r="H19" s="325"/>
      <c r="I19" s="325"/>
      <c r="J19" s="326"/>
    </row>
    <row r="20" spans="1:10" s="95" customFormat="1">
      <c r="A20" s="404">
        <f t="shared" si="0"/>
        <v>0</v>
      </c>
      <c r="B20" s="405"/>
      <c r="C20" s="325"/>
      <c r="D20" s="325"/>
      <c r="E20" s="325"/>
      <c r="F20" s="325"/>
      <c r="G20" s="325"/>
      <c r="H20" s="325"/>
      <c r="I20" s="325"/>
      <c r="J20" s="326"/>
    </row>
    <row r="21" spans="1:10" s="95" customFormat="1">
      <c r="A21" s="325"/>
      <c r="B21" s="325"/>
      <c r="C21" s="325"/>
      <c r="D21" s="325"/>
      <c r="E21" s="325"/>
      <c r="F21" s="325"/>
      <c r="G21" s="325"/>
      <c r="H21" s="325"/>
      <c r="I21" s="325"/>
      <c r="J21" s="326"/>
    </row>
    <row r="22" spans="1:10" s="95" customFormat="1">
      <c r="A22" s="328" t="s">
        <v>112</v>
      </c>
      <c r="B22" s="325"/>
      <c r="C22" s="325"/>
      <c r="D22" s="325"/>
      <c r="E22" s="325"/>
      <c r="F22" s="325"/>
      <c r="G22" s="325"/>
      <c r="H22" s="325"/>
      <c r="I22" s="325"/>
      <c r="J22" s="326"/>
    </row>
    <row r="23" spans="1:10" s="95" customFormat="1">
      <c r="A23" s="324" t="s">
        <v>108</v>
      </c>
      <c r="B23" s="324" t="s">
        <v>390</v>
      </c>
      <c r="C23" s="329" t="s">
        <v>391</v>
      </c>
      <c r="D23" s="330"/>
      <c r="E23" s="325" t="s">
        <v>392</v>
      </c>
      <c r="F23" s="325"/>
      <c r="G23" s="325"/>
      <c r="H23" s="325"/>
      <c r="I23" s="325"/>
      <c r="J23" s="326"/>
    </row>
    <row r="24" spans="1:10" s="95" customFormat="1">
      <c r="A24" s="324" t="s">
        <v>393</v>
      </c>
      <c r="B24" s="324">
        <f>F7</f>
        <v>85622</v>
      </c>
      <c r="C24" s="324">
        <f>1</f>
        <v>1</v>
      </c>
      <c r="D24" s="324">
        <f>B24*C24</f>
        <v>85622</v>
      </c>
      <c r="E24" s="325"/>
      <c r="F24" s="325"/>
      <c r="G24" s="325"/>
      <c r="H24" s="325"/>
      <c r="I24" s="325"/>
      <c r="J24" s="326"/>
    </row>
    <row r="25" spans="1:10" s="95" customFormat="1">
      <c r="A25" s="327">
        <f>A11</f>
        <v>-1</v>
      </c>
      <c r="B25" s="324">
        <f>B11</f>
        <v>73213</v>
      </c>
      <c r="C25" s="324">
        <f>IF(A25&lt;0,($F$6+A25)/$F$6,0)</f>
        <v>0.66666666666666663</v>
      </c>
      <c r="D25" s="324">
        <f>B25*C25</f>
        <v>48808.666666666664</v>
      </c>
      <c r="E25" s="331">
        <f t="shared" ref="E25:E34" si="1">IF(A25&lt;0,B25/$F$6,0)</f>
        <v>24404.333333333332</v>
      </c>
      <c r="F25" s="325"/>
      <c r="G25" s="325"/>
      <c r="H25" s="325"/>
      <c r="I25" s="325"/>
      <c r="J25" s="326"/>
    </row>
    <row r="26" spans="1:10" s="95" customFormat="1">
      <c r="A26" s="327">
        <f t="shared" ref="A26:B34" si="2">A12</f>
        <v>-2</v>
      </c>
      <c r="B26" s="324">
        <f t="shared" si="2"/>
        <v>56052</v>
      </c>
      <c r="C26" s="324">
        <f>IF(A26&lt;0,($F$6+A26)/$F$6,0)</f>
        <v>0.33333333333333331</v>
      </c>
      <c r="D26" s="324">
        <f t="shared" ref="D26:D34" si="3">B26*C26</f>
        <v>18684</v>
      </c>
      <c r="E26" s="331">
        <f t="shared" si="1"/>
        <v>18684</v>
      </c>
      <c r="F26" s="325"/>
      <c r="G26" s="325"/>
      <c r="H26" s="325"/>
      <c r="I26" s="325"/>
      <c r="J26" s="326"/>
    </row>
    <row r="27" spans="1:10" s="95" customFormat="1">
      <c r="A27" s="327">
        <f t="shared" si="2"/>
        <v>-3</v>
      </c>
      <c r="B27" s="324">
        <f t="shared" si="2"/>
        <v>42740</v>
      </c>
      <c r="C27" s="324">
        <f>IF(A27&lt;0,($F$6+A27)/$F$6,0)</f>
        <v>0</v>
      </c>
      <c r="D27" s="324">
        <f t="shared" si="3"/>
        <v>0</v>
      </c>
      <c r="E27" s="331">
        <f t="shared" si="1"/>
        <v>14246.666666666666</v>
      </c>
      <c r="F27" s="325"/>
      <c r="G27" s="325"/>
      <c r="H27" s="325"/>
      <c r="I27" s="325"/>
      <c r="J27" s="326"/>
    </row>
    <row r="28" spans="1:10" s="95" customFormat="1">
      <c r="A28" s="327">
        <f t="shared" si="2"/>
        <v>0</v>
      </c>
      <c r="B28" s="324">
        <f t="shared" si="2"/>
        <v>0</v>
      </c>
      <c r="C28" s="324">
        <f t="shared" ref="C28:C34" si="4">IF(A28&lt;0,($F$6+A28)/$F$6,0)</f>
        <v>0</v>
      </c>
      <c r="D28" s="324">
        <f t="shared" si="3"/>
        <v>0</v>
      </c>
      <c r="E28" s="331">
        <f t="shared" si="1"/>
        <v>0</v>
      </c>
      <c r="F28" s="325"/>
      <c r="G28" s="325"/>
      <c r="H28" s="325"/>
      <c r="I28" s="325"/>
      <c r="J28" s="326"/>
    </row>
    <row r="29" spans="1:10" s="95" customFormat="1">
      <c r="A29" s="327">
        <f t="shared" si="2"/>
        <v>0</v>
      </c>
      <c r="B29" s="324">
        <f t="shared" si="2"/>
        <v>0</v>
      </c>
      <c r="C29" s="324">
        <f t="shared" si="4"/>
        <v>0</v>
      </c>
      <c r="D29" s="324">
        <f t="shared" si="3"/>
        <v>0</v>
      </c>
      <c r="E29" s="331">
        <f t="shared" si="1"/>
        <v>0</v>
      </c>
      <c r="F29" s="325"/>
      <c r="G29" s="325"/>
      <c r="H29" s="325"/>
      <c r="I29" s="325"/>
      <c r="J29" s="326"/>
    </row>
    <row r="30" spans="1:10" s="95" customFormat="1">
      <c r="A30" s="327">
        <f t="shared" si="2"/>
        <v>0</v>
      </c>
      <c r="B30" s="324">
        <f t="shared" si="2"/>
        <v>0</v>
      </c>
      <c r="C30" s="324">
        <f t="shared" si="4"/>
        <v>0</v>
      </c>
      <c r="D30" s="324">
        <f t="shared" si="3"/>
        <v>0</v>
      </c>
      <c r="E30" s="331">
        <f t="shared" si="1"/>
        <v>0</v>
      </c>
      <c r="F30" s="325"/>
      <c r="G30" s="325"/>
      <c r="H30" s="325"/>
      <c r="I30" s="325"/>
      <c r="J30" s="326"/>
    </row>
    <row r="31" spans="1:10" s="95" customFormat="1">
      <c r="A31" s="327">
        <f t="shared" si="2"/>
        <v>0</v>
      </c>
      <c r="B31" s="324">
        <f t="shared" si="2"/>
        <v>0</v>
      </c>
      <c r="C31" s="324">
        <f t="shared" si="4"/>
        <v>0</v>
      </c>
      <c r="D31" s="324">
        <f t="shared" si="3"/>
        <v>0</v>
      </c>
      <c r="E31" s="331">
        <f t="shared" si="1"/>
        <v>0</v>
      </c>
      <c r="F31" s="325"/>
      <c r="G31" s="325"/>
      <c r="H31" s="325"/>
      <c r="I31" s="325"/>
      <c r="J31" s="326"/>
    </row>
    <row r="32" spans="1:10" s="95" customFormat="1">
      <c r="A32" s="327">
        <f t="shared" si="2"/>
        <v>0</v>
      </c>
      <c r="B32" s="324">
        <f t="shared" si="2"/>
        <v>0</v>
      </c>
      <c r="C32" s="324">
        <f t="shared" si="4"/>
        <v>0</v>
      </c>
      <c r="D32" s="324">
        <f t="shared" si="3"/>
        <v>0</v>
      </c>
      <c r="E32" s="331">
        <f t="shared" si="1"/>
        <v>0</v>
      </c>
      <c r="F32" s="325"/>
      <c r="G32" s="325"/>
      <c r="H32" s="325"/>
      <c r="I32" s="325"/>
      <c r="J32" s="326"/>
    </row>
    <row r="33" spans="1:10" s="95" customFormat="1">
      <c r="A33" s="327">
        <f t="shared" si="2"/>
        <v>0</v>
      </c>
      <c r="B33" s="324">
        <f t="shared" si="2"/>
        <v>0</v>
      </c>
      <c r="C33" s="324">
        <f t="shared" si="4"/>
        <v>0</v>
      </c>
      <c r="D33" s="324">
        <f t="shared" si="3"/>
        <v>0</v>
      </c>
      <c r="E33" s="331">
        <f t="shared" si="1"/>
        <v>0</v>
      </c>
      <c r="F33" s="325"/>
      <c r="G33" s="325"/>
      <c r="H33" s="325"/>
      <c r="I33" s="325"/>
      <c r="J33" s="326"/>
    </row>
    <row r="34" spans="1:10" s="95" customFormat="1" ht="16" customHeight="1" thickBot="1">
      <c r="A34" s="327">
        <f t="shared" si="2"/>
        <v>0</v>
      </c>
      <c r="B34" s="324">
        <f t="shared" si="2"/>
        <v>0</v>
      </c>
      <c r="C34" s="324">
        <f t="shared" si="4"/>
        <v>0</v>
      </c>
      <c r="D34" s="332">
        <f t="shared" si="3"/>
        <v>0</v>
      </c>
      <c r="E34" s="333">
        <f t="shared" si="1"/>
        <v>0</v>
      </c>
      <c r="F34" s="325"/>
      <c r="G34" s="325"/>
      <c r="H34" s="325"/>
      <c r="I34" s="325"/>
      <c r="J34" s="326"/>
    </row>
    <row r="35" spans="1:10" s="6" customFormat="1" ht="14" thickBot="1">
      <c r="A35" s="297" t="s">
        <v>394</v>
      </c>
      <c r="B35" s="297"/>
      <c r="C35" s="297"/>
      <c r="D35" s="334">
        <f>SUM(D24:D34)</f>
        <v>153114.66666666666</v>
      </c>
      <c r="E35" s="334">
        <f>SUM(E25:E34)</f>
        <v>57334.999999999993</v>
      </c>
      <c r="F35" s="297"/>
      <c r="G35" s="297"/>
      <c r="H35" s="297"/>
      <c r="I35" s="297"/>
      <c r="J35" s="297"/>
    </row>
    <row r="36" spans="1:10" ht="14" thickBot="1">
      <c r="D36" s="335"/>
      <c r="E36" s="335"/>
    </row>
    <row r="37" spans="1:10" s="6" customFormat="1" ht="14" thickBot="1">
      <c r="A37" s="297" t="s">
        <v>395</v>
      </c>
      <c r="B37" s="297"/>
      <c r="C37" s="297"/>
      <c r="D37" s="334">
        <f>E35</f>
        <v>57334.999999999993</v>
      </c>
      <c r="E37" s="336"/>
      <c r="F37" s="297"/>
      <c r="G37" s="297"/>
      <c r="H37" s="297"/>
      <c r="I37" s="297"/>
      <c r="J37" s="297"/>
    </row>
    <row r="38" spans="1:10" s="6" customFormat="1" ht="14" thickBot="1">
      <c r="A38" s="297"/>
      <c r="B38" s="297"/>
      <c r="C38" s="297"/>
      <c r="D38" s="297"/>
      <c r="E38" s="297"/>
      <c r="F38" s="297"/>
      <c r="G38" s="297"/>
      <c r="H38" s="297"/>
      <c r="I38" s="297"/>
      <c r="J38" s="297"/>
    </row>
    <row r="39" spans="1:10" s="6" customFormat="1">
      <c r="A39" s="297" t="s">
        <v>396</v>
      </c>
      <c r="B39" s="297"/>
      <c r="C39" s="297"/>
      <c r="D39" s="337">
        <f>F7-D37</f>
        <v>28287.000000000007</v>
      </c>
      <c r="E39" s="297" t="s">
        <v>397</v>
      </c>
      <c r="F39" s="297"/>
      <c r="G39" s="297"/>
      <c r="H39" s="297"/>
      <c r="I39" s="297"/>
      <c r="J39" s="297"/>
    </row>
    <row r="40" spans="1:10" ht="14">
      <c r="A40" s="295" t="s">
        <v>398</v>
      </c>
      <c r="D40" s="338">
        <f>D39*'Input sheet'!B24</f>
        <v>7071.7500000000018</v>
      </c>
      <c r="E40" s="297"/>
    </row>
    <row r="42" spans="1:10">
      <c r="A42" s="295" t="s">
        <v>895</v>
      </c>
    </row>
    <row r="43" spans="1:10">
      <c r="A43" s="400" t="s">
        <v>86</v>
      </c>
      <c r="B43" s="401" t="s">
        <v>896</v>
      </c>
    </row>
    <row r="44" spans="1:10">
      <c r="A44" s="398" t="s">
        <v>87</v>
      </c>
      <c r="B44" s="399">
        <v>2</v>
      </c>
    </row>
    <row r="45" spans="1:10">
      <c r="A45" s="398" t="s">
        <v>637</v>
      </c>
      <c r="B45" s="399">
        <v>10</v>
      </c>
    </row>
    <row r="46" spans="1:10">
      <c r="A46" s="398" t="s">
        <v>638</v>
      </c>
      <c r="B46" s="399">
        <v>10</v>
      </c>
    </row>
    <row r="47" spans="1:10">
      <c r="A47" s="398" t="s">
        <v>897</v>
      </c>
      <c r="B47" s="399">
        <v>5</v>
      </c>
    </row>
    <row r="48" spans="1:10">
      <c r="A48" s="398" t="s">
        <v>639</v>
      </c>
      <c r="B48" s="399">
        <v>3</v>
      </c>
    </row>
    <row r="49" spans="1:2">
      <c r="A49" s="398" t="s">
        <v>640</v>
      </c>
      <c r="B49" s="399">
        <v>10</v>
      </c>
    </row>
    <row r="50" spans="1:2">
      <c r="A50" s="398" t="s">
        <v>898</v>
      </c>
      <c r="B50" s="399">
        <v>5</v>
      </c>
    </row>
    <row r="51" spans="1:2">
      <c r="A51" s="398" t="s">
        <v>899</v>
      </c>
      <c r="B51" s="399">
        <v>5</v>
      </c>
    </row>
    <row r="52" spans="1:2">
      <c r="A52" s="398" t="s">
        <v>900</v>
      </c>
      <c r="B52" s="399">
        <v>2</v>
      </c>
    </row>
    <row r="53" spans="1:2">
      <c r="A53" s="398" t="s">
        <v>901</v>
      </c>
      <c r="B53" s="399">
        <v>2</v>
      </c>
    </row>
    <row r="54" spans="1:2">
      <c r="A54" s="398" t="s">
        <v>902</v>
      </c>
      <c r="B54" s="399">
        <v>2</v>
      </c>
    </row>
    <row r="55" spans="1:2">
      <c r="A55" s="398" t="s">
        <v>903</v>
      </c>
      <c r="B55" s="399">
        <v>2</v>
      </c>
    </row>
    <row r="56" spans="1:2">
      <c r="A56" s="398" t="s">
        <v>642</v>
      </c>
      <c r="B56" s="399">
        <v>3</v>
      </c>
    </row>
    <row r="57" spans="1:2">
      <c r="A57" s="398" t="s">
        <v>904</v>
      </c>
      <c r="B57" s="399">
        <v>3</v>
      </c>
    </row>
    <row r="58" spans="1:2">
      <c r="A58" s="398" t="s">
        <v>645</v>
      </c>
      <c r="B58" s="399">
        <v>5</v>
      </c>
    </row>
    <row r="59" spans="1:2">
      <c r="A59" s="398" t="s">
        <v>647</v>
      </c>
      <c r="B59" s="399">
        <v>10</v>
      </c>
    </row>
    <row r="60" spans="1:2">
      <c r="A60" s="398" t="s">
        <v>905</v>
      </c>
      <c r="B60" s="399">
        <v>10</v>
      </c>
    </row>
    <row r="61" spans="1:2">
      <c r="A61" s="398" t="s">
        <v>906</v>
      </c>
      <c r="B61" s="399">
        <v>10</v>
      </c>
    </row>
    <row r="62" spans="1:2">
      <c r="A62" s="398" t="s">
        <v>606</v>
      </c>
      <c r="B62" s="399">
        <v>10</v>
      </c>
    </row>
    <row r="63" spans="1:2">
      <c r="A63" s="398" t="s">
        <v>648</v>
      </c>
      <c r="B63" s="399">
        <v>10</v>
      </c>
    </row>
    <row r="64" spans="1:2">
      <c r="A64" s="398" t="s">
        <v>607</v>
      </c>
      <c r="B64" s="399">
        <v>10</v>
      </c>
    </row>
    <row r="65" spans="1:2">
      <c r="A65" s="398" t="s">
        <v>907</v>
      </c>
      <c r="B65" s="399">
        <v>5</v>
      </c>
    </row>
    <row r="66" spans="1:2">
      <c r="A66" s="398" t="s">
        <v>908</v>
      </c>
      <c r="B66" s="399">
        <v>5</v>
      </c>
    </row>
    <row r="67" spans="1:2">
      <c r="A67" s="398" t="s">
        <v>909</v>
      </c>
      <c r="B67" s="399">
        <v>3</v>
      </c>
    </row>
    <row r="68" spans="1:2">
      <c r="A68" s="398" t="s">
        <v>910</v>
      </c>
      <c r="B68" s="399">
        <v>5</v>
      </c>
    </row>
    <row r="69" spans="1:2">
      <c r="A69" s="398" t="s">
        <v>911</v>
      </c>
      <c r="B69" s="399">
        <v>5</v>
      </c>
    </row>
    <row r="70" spans="1:2">
      <c r="A70" s="398" t="s">
        <v>912</v>
      </c>
      <c r="B70" s="399">
        <v>10</v>
      </c>
    </row>
    <row r="71" spans="1:2">
      <c r="A71" s="398" t="s">
        <v>913</v>
      </c>
      <c r="B71" s="399">
        <v>3</v>
      </c>
    </row>
    <row r="72" spans="1:2">
      <c r="A72" s="398" t="s">
        <v>914</v>
      </c>
      <c r="B72" s="399">
        <v>3</v>
      </c>
    </row>
    <row r="73" spans="1:2">
      <c r="A73" s="398" t="s">
        <v>915</v>
      </c>
      <c r="B73" s="399">
        <v>10</v>
      </c>
    </row>
    <row r="74" spans="1:2">
      <c r="A74" s="398" t="s">
        <v>916</v>
      </c>
      <c r="B74" s="399">
        <v>10</v>
      </c>
    </row>
    <row r="75" spans="1:2">
      <c r="A75" s="398" t="s">
        <v>917</v>
      </c>
      <c r="B75" s="399">
        <v>10</v>
      </c>
    </row>
    <row r="76" spans="1:2">
      <c r="A76" s="398" t="s">
        <v>656</v>
      </c>
      <c r="B76" s="399">
        <v>10</v>
      </c>
    </row>
    <row r="77" spans="1:2">
      <c r="A77" s="398" t="s">
        <v>918</v>
      </c>
      <c r="B77" s="399">
        <v>5</v>
      </c>
    </row>
    <row r="78" spans="1:2">
      <c r="A78" s="398" t="s">
        <v>480</v>
      </c>
      <c r="B78" s="399">
        <v>3</v>
      </c>
    </row>
    <row r="79" spans="1:2">
      <c r="A79" s="398" t="s">
        <v>919</v>
      </c>
      <c r="B79" s="399">
        <v>5</v>
      </c>
    </row>
    <row r="80" spans="1:2">
      <c r="A80" s="398" t="s">
        <v>920</v>
      </c>
      <c r="B80" s="399">
        <v>2</v>
      </c>
    </row>
    <row r="81" spans="1:2">
      <c r="A81" s="398" t="s">
        <v>661</v>
      </c>
      <c r="B81" s="399">
        <v>3</v>
      </c>
    </row>
    <row r="82" spans="1:2">
      <c r="A82" s="398" t="s">
        <v>662</v>
      </c>
      <c r="B82" s="399">
        <v>3</v>
      </c>
    </row>
    <row r="83" spans="1:2">
      <c r="A83" s="398" t="s">
        <v>921</v>
      </c>
      <c r="B83" s="399">
        <v>5</v>
      </c>
    </row>
    <row r="84" spans="1:2">
      <c r="A84" s="398" t="s">
        <v>922</v>
      </c>
      <c r="B84" s="399">
        <v>10</v>
      </c>
    </row>
    <row r="85" spans="1:2">
      <c r="A85" s="398" t="s">
        <v>923</v>
      </c>
      <c r="B85" s="399">
        <v>3</v>
      </c>
    </row>
    <row r="86" spans="1:2">
      <c r="A86" s="398" t="s">
        <v>924</v>
      </c>
      <c r="B86" s="399">
        <v>5</v>
      </c>
    </row>
    <row r="87" spans="1:2">
      <c r="A87" s="398" t="s">
        <v>925</v>
      </c>
      <c r="B87" s="399">
        <v>2</v>
      </c>
    </row>
    <row r="88" spans="1:2">
      <c r="A88" s="398" t="s">
        <v>926</v>
      </c>
      <c r="B88" s="399">
        <v>3</v>
      </c>
    </row>
    <row r="89" spans="1:2">
      <c r="A89" s="398" t="s">
        <v>927</v>
      </c>
      <c r="B89" s="399">
        <v>5</v>
      </c>
    </row>
    <row r="90" spans="1:2">
      <c r="A90" s="398" t="s">
        <v>668</v>
      </c>
      <c r="B90" s="399">
        <v>5</v>
      </c>
    </row>
    <row r="91" spans="1:2">
      <c r="A91" s="398" t="s">
        <v>670</v>
      </c>
      <c r="B91" s="399">
        <v>3</v>
      </c>
    </row>
    <row r="92" spans="1:2">
      <c r="A92" s="398" t="s">
        <v>671</v>
      </c>
      <c r="B92" s="399">
        <v>3</v>
      </c>
    </row>
    <row r="93" spans="1:2">
      <c r="A93" s="398" t="s">
        <v>928</v>
      </c>
      <c r="B93" s="399">
        <v>3</v>
      </c>
    </row>
    <row r="94" spans="1:2">
      <c r="A94" s="398" t="s">
        <v>929</v>
      </c>
      <c r="B94" s="399">
        <v>3</v>
      </c>
    </row>
    <row r="95" spans="1:2">
      <c r="A95" s="398" t="s">
        <v>673</v>
      </c>
      <c r="B95" s="399">
        <v>3</v>
      </c>
    </row>
    <row r="96" spans="1:2">
      <c r="A96" s="398" t="s">
        <v>930</v>
      </c>
      <c r="B96" s="399">
        <v>3</v>
      </c>
    </row>
    <row r="97" spans="1:2">
      <c r="A97" s="398" t="s">
        <v>931</v>
      </c>
      <c r="B97" s="399">
        <v>3</v>
      </c>
    </row>
    <row r="98" spans="1:2">
      <c r="A98" s="398" t="s">
        <v>932</v>
      </c>
      <c r="B98" s="399">
        <v>3</v>
      </c>
    </row>
    <row r="99" spans="1:2">
      <c r="A99" s="398" t="s">
        <v>933</v>
      </c>
      <c r="B99" s="399">
        <v>3</v>
      </c>
    </row>
    <row r="100" spans="1:2">
      <c r="A100" s="398" t="s">
        <v>934</v>
      </c>
      <c r="B100" s="399">
        <v>3</v>
      </c>
    </row>
    <row r="101" spans="1:2">
      <c r="A101" s="398" t="s">
        <v>674</v>
      </c>
      <c r="B101" s="399">
        <v>10</v>
      </c>
    </row>
    <row r="102" spans="1:2">
      <c r="A102" s="398" t="s">
        <v>935</v>
      </c>
      <c r="B102" s="399">
        <v>5</v>
      </c>
    </row>
    <row r="103" spans="1:2">
      <c r="A103" s="398" t="s">
        <v>936</v>
      </c>
      <c r="B103" s="399">
        <v>10</v>
      </c>
    </row>
    <row r="104" spans="1:2">
      <c r="A104" s="398" t="s">
        <v>937</v>
      </c>
      <c r="B104" s="399">
        <v>3</v>
      </c>
    </row>
    <row r="105" spans="1:2">
      <c r="A105" s="398" t="s">
        <v>938</v>
      </c>
      <c r="B105" s="399">
        <v>5</v>
      </c>
    </row>
    <row r="106" spans="1:2">
      <c r="A106" s="398" t="s">
        <v>939</v>
      </c>
      <c r="B106" s="399">
        <v>10</v>
      </c>
    </row>
    <row r="107" spans="1:2">
      <c r="A107" s="398" t="s">
        <v>940</v>
      </c>
      <c r="B107" s="399">
        <v>5</v>
      </c>
    </row>
    <row r="108" spans="1:2">
      <c r="A108" s="398" t="s">
        <v>941</v>
      </c>
      <c r="B108" s="399">
        <v>10</v>
      </c>
    </row>
    <row r="109" spans="1:2">
      <c r="A109" s="398" t="s">
        <v>942</v>
      </c>
      <c r="B109" s="399">
        <v>10</v>
      </c>
    </row>
    <row r="110" spans="1:2">
      <c r="A110" s="398" t="s">
        <v>943</v>
      </c>
      <c r="B110" s="399">
        <v>3</v>
      </c>
    </row>
    <row r="111" spans="1:2">
      <c r="A111" s="398" t="s">
        <v>944</v>
      </c>
      <c r="B111" s="399">
        <v>5</v>
      </c>
    </row>
    <row r="112" spans="1:2">
      <c r="A112" s="398" t="s">
        <v>945</v>
      </c>
      <c r="B112" s="399">
        <v>5</v>
      </c>
    </row>
    <row r="113" spans="1:2">
      <c r="A113" s="398" t="s">
        <v>679</v>
      </c>
      <c r="B113" s="399">
        <v>5</v>
      </c>
    </row>
    <row r="114" spans="1:2">
      <c r="A114" s="398" t="s">
        <v>946</v>
      </c>
      <c r="B114" s="399">
        <v>10</v>
      </c>
    </row>
    <row r="115" spans="1:2">
      <c r="A115" s="398" t="s">
        <v>947</v>
      </c>
      <c r="B115" s="399">
        <v>5</v>
      </c>
    </row>
    <row r="116" spans="1:2">
      <c r="A116" s="398" t="s">
        <v>948</v>
      </c>
      <c r="B116" s="399">
        <v>5</v>
      </c>
    </row>
    <row r="117" spans="1:2">
      <c r="A117" s="398" t="s">
        <v>949</v>
      </c>
      <c r="B117" s="399">
        <v>5</v>
      </c>
    </row>
    <row r="118" spans="1:2">
      <c r="A118" s="398" t="s">
        <v>950</v>
      </c>
      <c r="B118" s="399">
        <v>3</v>
      </c>
    </row>
    <row r="119" spans="1:2">
      <c r="A119" s="398" t="s">
        <v>684</v>
      </c>
      <c r="B119" s="399">
        <v>3</v>
      </c>
    </row>
    <row r="120" spans="1:2">
      <c r="A120" s="398" t="s">
        <v>951</v>
      </c>
      <c r="B120" s="399">
        <v>5</v>
      </c>
    </row>
    <row r="121" spans="1:2">
      <c r="A121" s="398" t="s">
        <v>688</v>
      </c>
      <c r="B121" s="399">
        <v>5</v>
      </c>
    </row>
    <row r="122" spans="1:2">
      <c r="A122" s="398" t="s">
        <v>952</v>
      </c>
      <c r="B122" s="399">
        <v>2</v>
      </c>
    </row>
    <row r="123" spans="1:2">
      <c r="A123" s="398" t="s">
        <v>694</v>
      </c>
      <c r="B123" s="399">
        <v>2</v>
      </c>
    </row>
    <row r="124" spans="1:2">
      <c r="A124" s="398" t="s">
        <v>953</v>
      </c>
      <c r="B124" s="399">
        <v>2</v>
      </c>
    </row>
    <row r="125" spans="1:2">
      <c r="A125" s="398" t="s">
        <v>954</v>
      </c>
      <c r="B125" s="399">
        <v>2</v>
      </c>
    </row>
    <row r="126" spans="1:2">
      <c r="A126" s="398" t="s">
        <v>955</v>
      </c>
      <c r="B126" s="399">
        <v>2</v>
      </c>
    </row>
    <row r="127" spans="1:2">
      <c r="A127" s="398" t="s">
        <v>696</v>
      </c>
      <c r="B127" s="399">
        <v>5</v>
      </c>
    </row>
    <row r="128" spans="1:2">
      <c r="A128" s="398" t="s">
        <v>956</v>
      </c>
      <c r="B128" s="399">
        <v>5</v>
      </c>
    </row>
    <row r="129" spans="1:2">
      <c r="A129" s="398" t="s">
        <v>699</v>
      </c>
      <c r="B129" s="399">
        <v>3</v>
      </c>
    </row>
    <row r="130" spans="1:2">
      <c r="A130" s="398" t="s">
        <v>957</v>
      </c>
      <c r="B130" s="399">
        <v>5</v>
      </c>
    </row>
    <row r="131" spans="1:2">
      <c r="A131" s="398" t="s">
        <v>958</v>
      </c>
      <c r="B131" s="399">
        <v>5</v>
      </c>
    </row>
    <row r="132" spans="1:2">
      <c r="A132" s="398" t="s">
        <v>705</v>
      </c>
      <c r="B132" s="399">
        <v>10</v>
      </c>
    </row>
    <row r="133" spans="1:2">
      <c r="A133" s="398" t="s">
        <v>706</v>
      </c>
      <c r="B133" s="399">
        <v>5</v>
      </c>
    </row>
    <row r="134" spans="1:2">
      <c r="A134" s="398" t="s">
        <v>959</v>
      </c>
      <c r="B134" s="399">
        <v>5</v>
      </c>
    </row>
    <row r="135" spans="1:2">
      <c r="A135" s="398" t="s">
        <v>960</v>
      </c>
      <c r="B135" s="399">
        <v>2</v>
      </c>
    </row>
    <row r="136" spans="1:2">
      <c r="A136" s="398" t="s">
        <v>961</v>
      </c>
      <c r="B136" s="399">
        <v>5</v>
      </c>
    </row>
    <row r="137" spans="1:2">
      <c r="A137" s="398" t="s">
        <v>707</v>
      </c>
      <c r="B137" s="399">
        <v>5</v>
      </c>
    </row>
    <row r="138" spans="1:2">
      <c r="A138" s="398" t="s">
        <v>962</v>
      </c>
      <c r="B138" s="399">
        <v>3</v>
      </c>
    </row>
    <row r="139" spans="1:2">
      <c r="A139" s="398" t="s">
        <v>963</v>
      </c>
      <c r="B139" s="399">
        <v>5</v>
      </c>
    </row>
    <row r="140" spans="1:2">
      <c r="A140" s="398" t="s">
        <v>964</v>
      </c>
      <c r="B140" s="399">
        <v>10</v>
      </c>
    </row>
    <row r="141" spans="1:2">
      <c r="A141" s="402" t="s">
        <v>965</v>
      </c>
      <c r="B141" s="403">
        <v>10</v>
      </c>
    </row>
  </sheetData>
  <conditionalFormatting sqref="B11:B20">
    <cfRule type="cellIs" dxfId="0" priority="1" stopIfTrue="1" operator="equal">
      <formula>0</formula>
    </cfRule>
  </conditionalFormatting>
  <pageMargins left="0.75" right="0.75" top="1" bottom="1" header="0.5" footer="0.5"/>
  <headerFooter alignWithMargins="0"/>
  <legacyDrawing r:id="rId1"/>
  <tableParts count="1">
    <tablePart r:id="rId2"/>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4"/>
  <sheetViews>
    <sheetView zoomScale="148" zoomScaleNormal="148" workbookViewId="0">
      <selection activeCell="J27" sqref="J27"/>
    </sheetView>
  </sheetViews>
  <sheetFormatPr baseColWidth="10" defaultRowHeight="13"/>
  <sheetData>
    <row r="1" spans="1:12" s="5" customFormat="1" ht="18">
      <c r="A1" s="15" t="s">
        <v>105</v>
      </c>
      <c r="B1" s="15"/>
      <c r="C1" s="15"/>
      <c r="D1" s="15"/>
      <c r="E1" s="15"/>
      <c r="F1" s="15"/>
      <c r="G1" s="15"/>
      <c r="H1" s="15"/>
      <c r="I1" s="15"/>
      <c r="J1" s="15"/>
      <c r="K1" s="15"/>
    </row>
    <row r="2" spans="1:12" s="5" customFormat="1" ht="19" thickBot="1">
      <c r="A2" s="15" t="s">
        <v>145</v>
      </c>
      <c r="B2" s="15"/>
      <c r="C2" s="15"/>
      <c r="D2" s="15"/>
      <c r="E2" s="15"/>
      <c r="F2" s="15"/>
      <c r="G2" s="15"/>
      <c r="H2" s="15"/>
      <c r="I2" s="15"/>
      <c r="J2" s="15"/>
      <c r="K2" s="15"/>
    </row>
    <row r="3" spans="1:12" s="11" customFormat="1" ht="13" customHeight="1">
      <c r="A3" s="11" t="s">
        <v>4</v>
      </c>
      <c r="H3" s="621" t="s">
        <v>713</v>
      </c>
      <c r="I3" s="622"/>
      <c r="J3" s="622"/>
      <c r="K3" s="622"/>
      <c r="L3" s="623"/>
    </row>
    <row r="4" spans="1:12" s="6" customFormat="1">
      <c r="A4" s="6" t="s">
        <v>106</v>
      </c>
      <c r="E4" s="19">
        <v>295</v>
      </c>
      <c r="H4" s="624"/>
      <c r="I4" s="625"/>
      <c r="J4" s="625"/>
      <c r="K4" s="625"/>
      <c r="L4" s="626"/>
    </row>
    <row r="5" spans="1:12" s="9" customFormat="1">
      <c r="A5" s="9" t="s">
        <v>107</v>
      </c>
      <c r="H5" s="624"/>
      <c r="I5" s="625"/>
      <c r="J5" s="625"/>
      <c r="K5" s="625"/>
      <c r="L5" s="626"/>
    </row>
    <row r="6" spans="1:12" s="6" customFormat="1">
      <c r="A6" s="16" t="s">
        <v>108</v>
      </c>
      <c r="B6" s="16" t="s">
        <v>109</v>
      </c>
      <c r="C6" s="6" t="s">
        <v>110</v>
      </c>
      <c r="H6" s="624"/>
      <c r="I6" s="625"/>
      <c r="J6" s="625"/>
      <c r="K6" s="625"/>
      <c r="L6" s="626"/>
    </row>
    <row r="7" spans="1:12" s="6" customFormat="1">
      <c r="A7" s="16">
        <v>1</v>
      </c>
      <c r="B7" s="166">
        <v>287</v>
      </c>
      <c r="H7" s="624"/>
      <c r="I7" s="625"/>
      <c r="J7" s="625"/>
      <c r="K7" s="625"/>
      <c r="L7" s="626"/>
    </row>
    <row r="8" spans="1:12" s="6" customFormat="1">
      <c r="A8" s="16">
        <v>2</v>
      </c>
      <c r="B8" s="166">
        <v>235</v>
      </c>
      <c r="H8" s="624"/>
      <c r="I8" s="625"/>
      <c r="J8" s="625"/>
      <c r="K8" s="625"/>
      <c r="L8" s="626"/>
    </row>
    <row r="9" spans="1:12" s="6" customFormat="1">
      <c r="A9" s="16">
        <v>3</v>
      </c>
      <c r="B9" s="166">
        <v>194</v>
      </c>
      <c r="H9" s="624"/>
      <c r="I9" s="625"/>
      <c r="J9" s="625"/>
      <c r="K9" s="625"/>
      <c r="L9" s="626"/>
    </row>
    <row r="10" spans="1:12" s="6" customFormat="1">
      <c r="A10" s="16">
        <v>4</v>
      </c>
      <c r="B10" s="166">
        <v>151</v>
      </c>
      <c r="H10" s="624"/>
      <c r="I10" s="625"/>
      <c r="J10" s="625"/>
      <c r="K10" s="625"/>
      <c r="L10" s="626"/>
    </row>
    <row r="11" spans="1:12" s="6" customFormat="1" ht="14" thickBot="1">
      <c r="A11" s="16">
        <v>5</v>
      </c>
      <c r="B11" s="166">
        <v>98</v>
      </c>
      <c r="H11" s="627"/>
      <c r="I11" s="628"/>
      <c r="J11" s="628"/>
      <c r="K11" s="628"/>
      <c r="L11" s="629"/>
    </row>
    <row r="12" spans="1:12" s="6" customFormat="1" ht="14">
      <c r="A12" s="16" t="s">
        <v>111</v>
      </c>
      <c r="B12" s="142">
        <v>605</v>
      </c>
    </row>
    <row r="13" spans="1:12" s="6" customFormat="1"/>
    <row r="14" spans="1:12" s="17" customFormat="1" ht="17" thickBot="1">
      <c r="A14" s="17" t="s">
        <v>112</v>
      </c>
    </row>
    <row r="15" spans="1:12" s="6" customFormat="1" ht="14" thickBot="1">
      <c r="A15" s="6" t="s">
        <v>113</v>
      </c>
      <c r="C15" s="38">
        <f>'Cost of capital worksheet'!B37</f>
        <v>5.2803000000000003E-2</v>
      </c>
      <c r="D15" s="6" t="s">
        <v>218</v>
      </c>
    </row>
    <row r="16" spans="1:12" s="6" customFormat="1"/>
    <row r="17" spans="1:7" s="6" customFormat="1">
      <c r="D17" s="20"/>
    </row>
    <row r="18" spans="1:7" s="6" customFormat="1">
      <c r="A18" s="6" t="s">
        <v>114</v>
      </c>
      <c r="D18" s="21">
        <f>IF(B12&gt;0,ROUND(B12/AVERAGE(B7:B11),0),0)</f>
        <v>3</v>
      </c>
      <c r="E18" s="6" t="s">
        <v>115</v>
      </c>
    </row>
    <row r="19" spans="1:7" s="11" customFormat="1">
      <c r="E19" s="6" t="s">
        <v>116</v>
      </c>
    </row>
    <row r="20" spans="1:7" s="9" customFormat="1">
      <c r="A20" s="9" t="s">
        <v>117</v>
      </c>
    </row>
    <row r="21" spans="1:7" s="6" customFormat="1">
      <c r="A21" s="16" t="s">
        <v>108</v>
      </c>
      <c r="B21" s="16" t="s">
        <v>109</v>
      </c>
      <c r="C21" s="16" t="s">
        <v>118</v>
      </c>
    </row>
    <row r="22" spans="1:7" s="6" customFormat="1">
      <c r="A22" s="12">
        <f>A7</f>
        <v>1</v>
      </c>
      <c r="B22" s="14">
        <f>B7</f>
        <v>287</v>
      </c>
      <c r="C22" s="7">
        <f>B22/(1+$C$15)^A22</f>
        <v>272.60560617703408</v>
      </c>
    </row>
    <row r="23" spans="1:7" s="6" customFormat="1">
      <c r="A23" s="12">
        <f t="shared" ref="A23:B26" si="0">A8</f>
        <v>2</v>
      </c>
      <c r="B23" s="14">
        <f t="shared" si="0"/>
        <v>235</v>
      </c>
      <c r="C23" s="7">
        <f>B23/(1+$C$15)^A23</f>
        <v>212.01843997134637</v>
      </c>
    </row>
    <row r="24" spans="1:7" s="6" customFormat="1">
      <c r="A24" s="12">
        <f t="shared" si="0"/>
        <v>3</v>
      </c>
      <c r="B24" s="14">
        <f t="shared" si="0"/>
        <v>194</v>
      </c>
      <c r="C24" s="7">
        <f>B24/(1+$C$15)^A24</f>
        <v>166.24951557157698</v>
      </c>
    </row>
    <row r="25" spans="1:7" s="6" customFormat="1">
      <c r="A25" s="12">
        <f t="shared" si="0"/>
        <v>4</v>
      </c>
      <c r="B25" s="14">
        <f t="shared" si="0"/>
        <v>151</v>
      </c>
      <c r="C25" s="7">
        <f>B25/(1+$C$15)^A25</f>
        <v>122.91036038153722</v>
      </c>
    </row>
    <row r="26" spans="1:7" s="6" customFormat="1">
      <c r="A26" s="12">
        <f t="shared" si="0"/>
        <v>5</v>
      </c>
      <c r="B26" s="14">
        <f t="shared" si="0"/>
        <v>98</v>
      </c>
      <c r="C26" s="7">
        <f>B26/(1+$C$15)^A26</f>
        <v>75.768817018487056</v>
      </c>
    </row>
    <row r="27" spans="1:7" s="6" customFormat="1" ht="14" thickBot="1">
      <c r="A27" s="22" t="str">
        <f>A12</f>
        <v>6 and beyond</v>
      </c>
      <c r="B27" s="23">
        <f>IF(B12&gt;0,IF(D18&gt;0,B12/D18,B12),0)</f>
        <v>201.66666666666666</v>
      </c>
      <c r="C27" s="24">
        <f>IF(D18&gt;0,(B27*(1-(1+C15)^(-D18))/C15)/(1+$C$15)^5,B27/(1+C15)^6)</f>
        <v>422.38529688576318</v>
      </c>
      <c r="D27" s="6" t="s">
        <v>119</v>
      </c>
    </row>
    <row r="28" spans="1:7" s="6" customFormat="1" ht="14" thickBot="1">
      <c r="A28" s="18" t="s">
        <v>120</v>
      </c>
      <c r="B28" s="25"/>
      <c r="C28" s="26">
        <f>SUM(C22:C27)</f>
        <v>1271.9380360057448</v>
      </c>
    </row>
    <row r="29" spans="1:7" s="6" customFormat="1"/>
    <row r="30" spans="1:7" s="6" customFormat="1">
      <c r="A30" s="9" t="s">
        <v>121</v>
      </c>
    </row>
    <row r="31" spans="1:7" s="6" customFormat="1" ht="14" thickBot="1">
      <c r="A31" s="6" t="s">
        <v>122</v>
      </c>
      <c r="F31" s="24">
        <f>C28/(5+D18)</f>
        <v>158.9922545007181</v>
      </c>
      <c r="G31" s="6" t="s">
        <v>123</v>
      </c>
    </row>
    <row r="32" spans="1:7" s="6" customFormat="1" ht="14" thickBot="1">
      <c r="A32" s="6" t="s">
        <v>124</v>
      </c>
      <c r="F32" s="39">
        <f>E4-F31</f>
        <v>136.0077454992819</v>
      </c>
      <c r="G32" s="6" t="s">
        <v>126</v>
      </c>
    </row>
    <row r="33" spans="1:7" s="6" customFormat="1" ht="14" thickBot="1">
      <c r="A33" s="6" t="s">
        <v>125</v>
      </c>
      <c r="F33" s="27">
        <f>C28</f>
        <v>1271.9380360057448</v>
      </c>
      <c r="G33" s="6" t="s">
        <v>127</v>
      </c>
    </row>
    <row r="34" spans="1:7" ht="14">
      <c r="A34" s="6" t="s">
        <v>466</v>
      </c>
      <c r="F34" s="110">
        <f>C28/(5+D18)</f>
        <v>158.9922545007181</v>
      </c>
    </row>
  </sheetData>
  <mergeCells count="1">
    <mergeCell ref="H3:L11"/>
  </mergeCells>
  <pageMargins left="0.75" right="0.75" top="1" bottom="1" header="0.5" footer="0.5"/>
  <headerFooter alignWithMargins="0"/>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17</vt:i4>
      </vt:variant>
    </vt:vector>
  </HeadingPairs>
  <TitlesOfParts>
    <vt:vector size="17" baseType="lpstr">
      <vt:lpstr>Input sheet</vt:lpstr>
      <vt:lpstr>Valuation output</vt:lpstr>
      <vt:lpstr>Stories to Numbers</vt:lpstr>
      <vt:lpstr>Valuation as picture</vt:lpstr>
      <vt:lpstr>Diagnostics</vt:lpstr>
      <vt:lpstr>Option value</vt:lpstr>
      <vt:lpstr>Synthetic rating</vt:lpstr>
      <vt:lpstr>R&amp; D converter</vt:lpstr>
      <vt:lpstr>Operating lease converter</vt:lpstr>
      <vt:lpstr>Cost of capital worksheet</vt:lpstr>
      <vt:lpstr>Failure Rate worksheet</vt:lpstr>
      <vt:lpstr>Country equity risk premiums</vt:lpstr>
      <vt:lpstr>Industry Averages(US)</vt:lpstr>
      <vt:lpstr>Industry Averages (Global)</vt:lpstr>
      <vt:lpstr>Input Stat Distributioons</vt:lpstr>
      <vt:lpstr>Trailing 12 month Worskheet</vt:lpstr>
      <vt:lpstr>Answer keys</vt:lpstr>
    </vt:vector>
  </TitlesOfParts>
  <Company>Stern School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Aswath Damodaran</dc:creator>
  <cp:lastModifiedBy>Aswath Damodaran</cp:lastModifiedBy>
  <cp:lastPrinted>2011-01-17T15:04:26Z</cp:lastPrinted>
  <dcterms:created xsi:type="dcterms:W3CDTF">2000-02-22T13:53:50Z</dcterms:created>
  <dcterms:modified xsi:type="dcterms:W3CDTF">2026-04-12T16:17:43Z</dcterms:modified>
</cp:coreProperties>
</file>